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atacommunications.sharepoint.com/sites/FPA_Team/Shared Documents/Board Deck/Q2'23/Investor Fact Sheet/"/>
    </mc:Choice>
  </mc:AlternateContent>
  <xr:revisionPtr revIDLastSave="25" documentId="8_{FC4E20AF-B693-4E7F-B82E-1CB6D4F98B12}" xr6:coauthVersionLast="47" xr6:coauthVersionMax="47" xr10:uidLastSave="{1FC539AE-E97E-4966-AB30-C50C8DA4EFE7}"/>
  <bookViews>
    <workbookView xWindow="-110" yWindow="-110" windowWidth="19420" windowHeight="10300" xr2:uid="{9A0BCFCE-7405-43D7-A8D1-352F6ED4834A}"/>
  </bookViews>
  <sheets>
    <sheet name="Index" sheetId="1" r:id="rId1"/>
    <sheet name="Key Metrics" sheetId="2" r:id="rId2"/>
    <sheet name="Consolidated PL" sheetId="3" r:id="rId3"/>
    <sheet name="Data and Voice" sheetId="4" r:id="rId4"/>
    <sheet name="Data Portfolio" sheetId="5" r:id="rId5"/>
    <sheet name="Others (Rental and Subs)" sheetId="6" r:id="rId6"/>
  </sheets>
  <calcPr calcId="191029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9" i="6" l="1"/>
  <c r="AD15" i="6"/>
  <c r="AD21" i="6"/>
  <c r="AC15" i="6"/>
  <c r="AC9" i="6"/>
  <c r="AD9" i="5"/>
  <c r="AD19" i="5"/>
  <c r="AD30" i="5"/>
  <c r="AC30" i="5" l="1"/>
  <c r="AC19" i="5"/>
  <c r="AC9" i="5"/>
  <c r="AD9" i="4"/>
  <c r="AC18" i="4" l="1"/>
  <c r="AD18" i="4"/>
  <c r="AD12" i="4"/>
  <c r="AD21" i="4"/>
  <c r="AC12" i="4" l="1"/>
  <c r="AC9" i="4" l="1"/>
  <c r="AD15" i="3"/>
  <c r="AD10" i="3"/>
  <c r="AD9" i="3"/>
  <c r="AD21" i="3" l="1"/>
  <c r="AC10" i="3" l="1"/>
  <c r="AC15" i="3" l="1"/>
  <c r="AC9" i="3"/>
  <c r="AD28" i="2" l="1"/>
  <c r="AD27" i="2"/>
  <c r="AD26" i="2"/>
  <c r="AD14" i="2"/>
  <c r="AD13" i="2"/>
  <c r="AD8" i="2" l="1"/>
  <c r="Q21" i="6" l="1"/>
  <c r="P21" i="6"/>
  <c r="O21" i="6"/>
  <c r="N21" i="6"/>
  <c r="M21" i="6"/>
  <c r="L21" i="6"/>
  <c r="K21" i="6"/>
  <c r="J21" i="6"/>
  <c r="G21" i="6"/>
  <c r="F21" i="6"/>
  <c r="E21" i="6"/>
  <c r="R20" i="6"/>
  <c r="M20" i="6"/>
  <c r="H20" i="6"/>
  <c r="R19" i="6"/>
  <c r="M19" i="6"/>
  <c r="H19" i="6"/>
  <c r="V21" i="6"/>
  <c r="W18" i="6"/>
  <c r="R18" i="6"/>
  <c r="R21" i="6" s="1"/>
  <c r="M18" i="6"/>
  <c r="H18" i="6"/>
  <c r="O15" i="6"/>
  <c r="N15" i="6"/>
  <c r="L15" i="6"/>
  <c r="K15" i="6"/>
  <c r="J15" i="6"/>
  <c r="I15" i="6"/>
  <c r="G15" i="6"/>
  <c r="F15" i="6"/>
  <c r="E15" i="6"/>
  <c r="D15" i="6"/>
  <c r="W14" i="6"/>
  <c r="R14" i="6"/>
  <c r="M14" i="6"/>
  <c r="M15" i="6" s="1"/>
  <c r="H14" i="6"/>
  <c r="H15" i="6" s="1"/>
  <c r="R13" i="6"/>
  <c r="M13" i="6"/>
  <c r="H13" i="6"/>
  <c r="R12" i="6"/>
  <c r="M12" i="6"/>
  <c r="H12" i="6"/>
  <c r="Q9" i="6"/>
  <c r="P9" i="6"/>
  <c r="O9" i="6"/>
  <c r="N9" i="6"/>
  <c r="L9" i="6"/>
  <c r="K9" i="6"/>
  <c r="J9" i="6"/>
  <c r="I9" i="6"/>
  <c r="G9" i="6"/>
  <c r="F9" i="6"/>
  <c r="E9" i="6"/>
  <c r="D9" i="6"/>
  <c r="R8" i="6"/>
  <c r="M8" i="6"/>
  <c r="M9" i="6" s="1"/>
  <c r="H8" i="6"/>
  <c r="R7" i="6"/>
  <c r="M7" i="6"/>
  <c r="H7" i="6"/>
  <c r="R6" i="6"/>
  <c r="M6" i="6"/>
  <c r="H6" i="6"/>
  <c r="R29" i="5"/>
  <c r="M29" i="5"/>
  <c r="M30" i="5" s="1"/>
  <c r="H29" i="5"/>
  <c r="R28" i="5"/>
  <c r="M28" i="5"/>
  <c r="H28" i="5"/>
  <c r="W27" i="5"/>
  <c r="R27" i="5"/>
  <c r="M27" i="5"/>
  <c r="H27" i="5"/>
  <c r="H30" i="5" s="1"/>
  <c r="Q19" i="5"/>
  <c r="P19" i="5"/>
  <c r="O19" i="5"/>
  <c r="N19" i="5"/>
  <c r="L19" i="5"/>
  <c r="R18" i="5"/>
  <c r="M18" i="5"/>
  <c r="H18" i="5"/>
  <c r="R17" i="5"/>
  <c r="M17" i="5"/>
  <c r="H17" i="5"/>
  <c r="T19" i="5"/>
  <c r="R16" i="5"/>
  <c r="M16" i="5"/>
  <c r="H16" i="5"/>
  <c r="Q9" i="5"/>
  <c r="P9" i="5"/>
  <c r="O9" i="5"/>
  <c r="N9" i="5"/>
  <c r="L9" i="5"/>
  <c r="K9" i="5"/>
  <c r="J9" i="5"/>
  <c r="I9" i="5"/>
  <c r="G9" i="5"/>
  <c r="F9" i="5"/>
  <c r="E9" i="5"/>
  <c r="D9" i="5"/>
  <c r="R8" i="5"/>
  <c r="R9" i="5" s="1"/>
  <c r="M8" i="5"/>
  <c r="H8" i="5"/>
  <c r="R7" i="5"/>
  <c r="M7" i="5"/>
  <c r="H7" i="5"/>
  <c r="R6" i="5"/>
  <c r="M6" i="5"/>
  <c r="M9" i="5" s="1"/>
  <c r="H6" i="5"/>
  <c r="F30" i="4"/>
  <c r="R28" i="4"/>
  <c r="J10" i="4"/>
  <c r="Z30" i="4"/>
  <c r="T30" i="4"/>
  <c r="Q26" i="4"/>
  <c r="P26" i="4"/>
  <c r="O26" i="4"/>
  <c r="N26" i="4"/>
  <c r="L26" i="4"/>
  <c r="L30" i="4" s="1"/>
  <c r="K26" i="4"/>
  <c r="K8" i="4" s="1"/>
  <c r="J26" i="4"/>
  <c r="J8" i="4" s="1"/>
  <c r="I26" i="4"/>
  <c r="G26" i="4"/>
  <c r="F26" i="4"/>
  <c r="E26" i="4"/>
  <c r="E8" i="4" s="1"/>
  <c r="D26" i="4"/>
  <c r="D30" i="4" s="1"/>
  <c r="Q25" i="4"/>
  <c r="Q7" i="4" s="1"/>
  <c r="P25" i="4"/>
  <c r="P7" i="4" s="1"/>
  <c r="O25" i="4"/>
  <c r="O7" i="4" s="1"/>
  <c r="N25" i="4"/>
  <c r="L25" i="4"/>
  <c r="L7" i="4" s="1"/>
  <c r="K25" i="4"/>
  <c r="K7" i="4" s="1"/>
  <c r="J25" i="4"/>
  <c r="I25" i="4"/>
  <c r="M25" i="4" s="1"/>
  <c r="G25" i="4"/>
  <c r="G7" i="4" s="1"/>
  <c r="F25" i="4"/>
  <c r="F7" i="4" s="1"/>
  <c r="E25" i="4"/>
  <c r="D25" i="4"/>
  <c r="Y27" i="4"/>
  <c r="Q24" i="4"/>
  <c r="Q6" i="4" s="1"/>
  <c r="Q17" i="2" s="1"/>
  <c r="P24" i="4"/>
  <c r="O24" i="4"/>
  <c r="O6" i="4" s="1"/>
  <c r="O15" i="2" s="1"/>
  <c r="N24" i="4"/>
  <c r="N6" i="4" s="1"/>
  <c r="L24" i="4"/>
  <c r="L6" i="4" s="1"/>
  <c r="K24" i="4"/>
  <c r="K6" i="4" s="1"/>
  <c r="J24" i="4"/>
  <c r="I24" i="4"/>
  <c r="I6" i="4" s="1"/>
  <c r="G24" i="4"/>
  <c r="G6" i="4" s="1"/>
  <c r="G17" i="2" s="1"/>
  <c r="F24" i="4"/>
  <c r="E24" i="4"/>
  <c r="E6" i="4" s="1"/>
  <c r="E16" i="2" s="1"/>
  <c r="D24" i="4"/>
  <c r="Q21" i="4"/>
  <c r="P21" i="4"/>
  <c r="O21" i="4"/>
  <c r="N21" i="4"/>
  <c r="M21" i="4"/>
  <c r="L21" i="4"/>
  <c r="K21" i="4"/>
  <c r="J21" i="4"/>
  <c r="I21" i="4"/>
  <c r="G21" i="4"/>
  <c r="F21" i="4"/>
  <c r="E21" i="4"/>
  <c r="D21" i="4"/>
  <c r="W20" i="4"/>
  <c r="R20" i="4"/>
  <c r="M20" i="4"/>
  <c r="H20" i="4"/>
  <c r="AB19" i="4"/>
  <c r="R19" i="4"/>
  <c r="M19" i="4"/>
  <c r="H19" i="4"/>
  <c r="Q18" i="4"/>
  <c r="P18" i="4"/>
  <c r="O18" i="4"/>
  <c r="N18" i="4"/>
  <c r="L18" i="4"/>
  <c r="K18" i="4"/>
  <c r="J18" i="4"/>
  <c r="I18" i="4"/>
  <c r="G18" i="4"/>
  <c r="F18" i="4"/>
  <c r="E18" i="4"/>
  <c r="D18" i="4"/>
  <c r="R17" i="4"/>
  <c r="R18" i="4" s="1"/>
  <c r="M17" i="4"/>
  <c r="H17" i="4"/>
  <c r="R16" i="4"/>
  <c r="M16" i="4"/>
  <c r="H16" i="4"/>
  <c r="U13" i="2"/>
  <c r="R15" i="4"/>
  <c r="R13" i="2" s="1"/>
  <c r="M15" i="4"/>
  <c r="H15" i="4"/>
  <c r="R11" i="4"/>
  <c r="Q10" i="4"/>
  <c r="P10" i="4"/>
  <c r="O10" i="4"/>
  <c r="N10" i="4"/>
  <c r="L10" i="4"/>
  <c r="K10" i="4"/>
  <c r="I10" i="4"/>
  <c r="D10" i="4"/>
  <c r="Y12" i="4"/>
  <c r="U12" i="4"/>
  <c r="Q8" i="4"/>
  <c r="P8" i="4"/>
  <c r="G8" i="4"/>
  <c r="F8" i="4"/>
  <c r="D8" i="4"/>
  <c r="D12" i="4" s="1"/>
  <c r="N7" i="4"/>
  <c r="J7" i="4"/>
  <c r="E7" i="4"/>
  <c r="D7" i="4"/>
  <c r="V14" i="2"/>
  <c r="U14" i="2"/>
  <c r="S14" i="2"/>
  <c r="P6" i="4"/>
  <c r="P17" i="2" s="1"/>
  <c r="F6" i="4"/>
  <c r="F15" i="2" s="1"/>
  <c r="W17" i="3"/>
  <c r="W28" i="2" s="1"/>
  <c r="R17" i="3"/>
  <c r="M17" i="3"/>
  <c r="H17" i="3"/>
  <c r="W16" i="3"/>
  <c r="R16" i="3"/>
  <c r="M16" i="3"/>
  <c r="H16" i="3"/>
  <c r="V15" i="3"/>
  <c r="U15" i="3"/>
  <c r="T15" i="3"/>
  <c r="S15" i="3"/>
  <c r="Q15" i="3"/>
  <c r="P15" i="3"/>
  <c r="O15" i="3"/>
  <c r="R15" i="3" s="1"/>
  <c r="N15" i="3"/>
  <c r="L15" i="3"/>
  <c r="K15" i="3"/>
  <c r="J15" i="3"/>
  <c r="M15" i="3" s="1"/>
  <c r="I15" i="3"/>
  <c r="G15" i="3"/>
  <c r="F15" i="3"/>
  <c r="E15" i="3"/>
  <c r="D15" i="3"/>
  <c r="W14" i="3"/>
  <c r="R14" i="3"/>
  <c r="M14" i="3"/>
  <c r="H14" i="3"/>
  <c r="W13" i="3"/>
  <c r="R13" i="3"/>
  <c r="M13" i="3"/>
  <c r="H13" i="3"/>
  <c r="W12" i="3"/>
  <c r="R12" i="3"/>
  <c r="M12" i="3"/>
  <c r="H12" i="3"/>
  <c r="W11" i="3"/>
  <c r="W27" i="2" s="1"/>
  <c r="R11" i="3"/>
  <c r="M11" i="3"/>
  <c r="H11" i="3"/>
  <c r="W10" i="3"/>
  <c r="R10" i="3"/>
  <c r="M10" i="3"/>
  <c r="H10" i="3"/>
  <c r="W9" i="3"/>
  <c r="W26" i="2" s="1"/>
  <c r="V9" i="3"/>
  <c r="U9" i="3"/>
  <c r="T9" i="3"/>
  <c r="T26" i="2" s="1"/>
  <c r="S9" i="3"/>
  <c r="S26" i="2" s="1"/>
  <c r="Q9" i="3"/>
  <c r="P9" i="3"/>
  <c r="P26" i="2" s="1"/>
  <c r="O9" i="3"/>
  <c r="O26" i="2" s="1"/>
  <c r="N9" i="3"/>
  <c r="N26" i="2" s="1"/>
  <c r="L9" i="3"/>
  <c r="K9" i="3"/>
  <c r="J9" i="3"/>
  <c r="J26" i="2" s="1"/>
  <c r="I9" i="3"/>
  <c r="I26" i="2" s="1"/>
  <c r="G9" i="3"/>
  <c r="G26" i="2" s="1"/>
  <c r="F9" i="3"/>
  <c r="F26" i="2" s="1"/>
  <c r="E9" i="3"/>
  <c r="D9" i="3"/>
  <c r="D26" i="2" s="1"/>
  <c r="AA9" i="3"/>
  <c r="AA26" i="2" s="1"/>
  <c r="W8" i="3"/>
  <c r="R8" i="3"/>
  <c r="M8" i="3"/>
  <c r="H8" i="3"/>
  <c r="W7" i="3"/>
  <c r="R7" i="3"/>
  <c r="M7" i="3"/>
  <c r="H7" i="3"/>
  <c r="AB6" i="3"/>
  <c r="Y14" i="2"/>
  <c r="W6" i="3"/>
  <c r="R6" i="3"/>
  <c r="M6" i="3"/>
  <c r="M28" i="2" s="1"/>
  <c r="H6" i="3"/>
  <c r="H28" i="2" s="1"/>
  <c r="AB32" i="2"/>
  <c r="W32" i="2"/>
  <c r="AB31" i="2"/>
  <c r="W31" i="2"/>
  <c r="W30" i="2"/>
  <c r="AB29" i="2"/>
  <c r="W29" i="2"/>
  <c r="Z28" i="2"/>
  <c r="V28" i="2"/>
  <c r="U28" i="2"/>
  <c r="T28" i="2"/>
  <c r="S28" i="2"/>
  <c r="Q28" i="2"/>
  <c r="P28" i="2"/>
  <c r="O28" i="2"/>
  <c r="N28" i="2"/>
  <c r="L28" i="2"/>
  <c r="K28" i="2"/>
  <c r="J28" i="2"/>
  <c r="I28" i="2"/>
  <c r="G28" i="2"/>
  <c r="F28" i="2"/>
  <c r="E28" i="2"/>
  <c r="D28" i="2"/>
  <c r="V27" i="2"/>
  <c r="U27" i="2"/>
  <c r="T27" i="2"/>
  <c r="S27" i="2"/>
  <c r="Q27" i="2"/>
  <c r="P27" i="2"/>
  <c r="O27" i="2"/>
  <c r="N27" i="2"/>
  <c r="L27" i="2"/>
  <c r="K27" i="2"/>
  <c r="J27" i="2"/>
  <c r="I27" i="2"/>
  <c r="G27" i="2"/>
  <c r="F27" i="2"/>
  <c r="E27" i="2"/>
  <c r="D27" i="2"/>
  <c r="V26" i="2"/>
  <c r="U26" i="2"/>
  <c r="Q26" i="2"/>
  <c r="L26" i="2"/>
  <c r="K26" i="2"/>
  <c r="E26" i="2"/>
  <c r="Q18" i="2"/>
  <c r="P18" i="2"/>
  <c r="O18" i="2"/>
  <c r="N18" i="2"/>
  <c r="L18" i="2"/>
  <c r="K18" i="2"/>
  <c r="J18" i="2"/>
  <c r="I18" i="2"/>
  <c r="G18" i="2"/>
  <c r="F18" i="2"/>
  <c r="E18" i="2"/>
  <c r="D18" i="2"/>
  <c r="T14" i="2"/>
  <c r="AA13" i="2"/>
  <c r="V13" i="2"/>
  <c r="S13" i="2"/>
  <c r="Q13" i="2"/>
  <c r="P13" i="2"/>
  <c r="O13" i="2"/>
  <c r="N13" i="2"/>
  <c r="L13" i="2"/>
  <c r="K13" i="2"/>
  <c r="J13" i="2"/>
  <c r="I13" i="2"/>
  <c r="G13" i="2"/>
  <c r="F13" i="2"/>
  <c r="E13" i="2"/>
  <c r="D13" i="2"/>
  <c r="Z8" i="2"/>
  <c r="W10" i="2"/>
  <c r="AA8" i="2"/>
  <c r="W9" i="2"/>
  <c r="V8" i="2"/>
  <c r="U8" i="2"/>
  <c r="T8" i="2"/>
  <c r="S8" i="2"/>
  <c r="W8" i="2" s="1"/>
  <c r="AA18" i="4" l="1"/>
  <c r="W17" i="5"/>
  <c r="V9" i="5"/>
  <c r="V15" i="6"/>
  <c r="W12" i="6"/>
  <c r="T9" i="6"/>
  <c r="Z27" i="2"/>
  <c r="Y30" i="5"/>
  <c r="Y9" i="3"/>
  <c r="Y26" i="2" s="1"/>
  <c r="H11" i="4"/>
  <c r="U30" i="4"/>
  <c r="Y9" i="6"/>
  <c r="AB7" i="3"/>
  <c r="R10" i="4"/>
  <c r="AB15" i="4"/>
  <c r="W16" i="4"/>
  <c r="AB17" i="4"/>
  <c r="W25" i="4"/>
  <c r="M28" i="4"/>
  <c r="U9" i="5"/>
  <c r="V19" i="5"/>
  <c r="AB27" i="5"/>
  <c r="X30" i="5"/>
  <c r="T12" i="4"/>
  <c r="E12" i="4"/>
  <c r="Y9" i="5"/>
  <c r="Y21" i="3"/>
  <c r="V9" i="4"/>
  <c r="W29" i="4"/>
  <c r="U9" i="6"/>
  <c r="T15" i="6"/>
  <c r="U21" i="6"/>
  <c r="AB9" i="2"/>
  <c r="F12" i="4"/>
  <c r="W15" i="4"/>
  <c r="W13" i="2" s="1"/>
  <c r="T18" i="4"/>
  <c r="AC27" i="4"/>
  <c r="AB8" i="5"/>
  <c r="AB7" i="6"/>
  <c r="U18" i="4"/>
  <c r="Y30" i="4"/>
  <c r="W6" i="5"/>
  <c r="W19" i="6"/>
  <c r="AC28" i="2"/>
  <c r="Z15" i="3"/>
  <c r="Y9" i="4"/>
  <c r="AA10" i="3"/>
  <c r="Z18" i="4"/>
  <c r="AB16" i="5"/>
  <c r="X19" i="5"/>
  <c r="AA15" i="3"/>
  <c r="X13" i="2"/>
  <c r="AA28" i="2"/>
  <c r="Z9" i="5"/>
  <c r="Z19" i="5"/>
  <c r="AB13" i="3"/>
  <c r="AB7" i="4"/>
  <c r="Y27" i="2"/>
  <c r="AB8" i="6"/>
  <c r="AB18" i="6"/>
  <c r="AB20" i="6"/>
  <c r="L17" i="2"/>
  <c r="L14" i="2"/>
  <c r="L15" i="2"/>
  <c r="I15" i="2"/>
  <c r="I16" i="2"/>
  <c r="I14" i="2"/>
  <c r="Z15" i="6"/>
  <c r="P16" i="2"/>
  <c r="H9" i="6"/>
  <c r="AA15" i="6"/>
  <c r="E27" i="4"/>
  <c r="W6" i="6"/>
  <c r="Y21" i="6"/>
  <c r="F14" i="2"/>
  <c r="P15" i="2"/>
  <c r="M24" i="4"/>
  <c r="Q27" i="4"/>
  <c r="Z21" i="6"/>
  <c r="F17" i="2"/>
  <c r="L8" i="4"/>
  <c r="L12" i="4" s="1"/>
  <c r="M26" i="4"/>
  <c r="M30" i="4" s="1"/>
  <c r="AA21" i="6"/>
  <c r="W13" i="6"/>
  <c r="X15" i="6"/>
  <c r="W20" i="6"/>
  <c r="W21" i="6" s="1"/>
  <c r="AB12" i="6"/>
  <c r="P14" i="2"/>
  <c r="H24" i="4"/>
  <c r="W7" i="6"/>
  <c r="V9" i="6"/>
  <c r="Y15" i="6"/>
  <c r="AC21" i="6"/>
  <c r="W28" i="5"/>
  <c r="T9" i="5"/>
  <c r="Y19" i="5"/>
  <c r="R19" i="5"/>
  <c r="AA19" i="5"/>
  <c r="R30" i="5"/>
  <c r="AA30" i="5"/>
  <c r="AA9" i="5"/>
  <c r="AB6" i="5"/>
  <c r="W7" i="5"/>
  <c r="AB17" i="5"/>
  <c r="W18" i="5"/>
  <c r="AB28" i="5"/>
  <c r="W29" i="5"/>
  <c r="W30" i="5" s="1"/>
  <c r="N16" i="2"/>
  <c r="N17" i="2"/>
  <c r="N15" i="2"/>
  <c r="N14" i="2"/>
  <c r="D27" i="4"/>
  <c r="I30" i="4"/>
  <c r="E14" i="2"/>
  <c r="F16" i="2"/>
  <c r="E17" i="2"/>
  <c r="D6" i="4"/>
  <c r="D16" i="2" s="1"/>
  <c r="Q12" i="4"/>
  <c r="AA9" i="4"/>
  <c r="U9" i="4"/>
  <c r="S21" i="4"/>
  <c r="AB25" i="4"/>
  <c r="U27" i="4"/>
  <c r="E30" i="4"/>
  <c r="T13" i="2"/>
  <c r="Q15" i="2"/>
  <c r="I17" i="2"/>
  <c r="I8" i="4"/>
  <c r="I9" i="4" s="1"/>
  <c r="E9" i="4"/>
  <c r="M11" i="4"/>
  <c r="W11" i="4"/>
  <c r="V18" i="4"/>
  <c r="H25" i="4"/>
  <c r="K27" i="4"/>
  <c r="AB28" i="4"/>
  <c r="AB29" i="4"/>
  <c r="J30" i="4"/>
  <c r="V12" i="4"/>
  <c r="AB24" i="4"/>
  <c r="AB27" i="4" s="1"/>
  <c r="V27" i="4"/>
  <c r="I27" i="4"/>
  <c r="AC30" i="4"/>
  <c r="AB16" i="4"/>
  <c r="H7" i="4"/>
  <c r="AB8" i="4"/>
  <c r="AB12" i="4" s="1"/>
  <c r="L9" i="4"/>
  <c r="M10" i="4"/>
  <c r="W10" i="4"/>
  <c r="R24" i="4"/>
  <c r="AB26" i="4"/>
  <c r="L27" i="4"/>
  <c r="W28" i="4"/>
  <c r="Q30" i="4"/>
  <c r="Q16" i="2"/>
  <c r="Q14" i="2"/>
  <c r="W6" i="4"/>
  <c r="Q9" i="4"/>
  <c r="Z21" i="4"/>
  <c r="M27" i="4"/>
  <c r="W24" i="4"/>
  <c r="E15" i="2"/>
  <c r="P9" i="4"/>
  <c r="Z9" i="4"/>
  <c r="T9" i="4"/>
  <c r="AB11" i="4"/>
  <c r="R21" i="4"/>
  <c r="AA21" i="4"/>
  <c r="S18" i="4"/>
  <c r="AB20" i="4"/>
  <c r="AB21" i="4" s="1"/>
  <c r="P27" i="4"/>
  <c r="T27" i="4"/>
  <c r="V30" i="4"/>
  <c r="AA14" i="2"/>
  <c r="X14" i="2"/>
  <c r="R9" i="3"/>
  <c r="R26" i="2" s="1"/>
  <c r="AA27" i="2"/>
  <c r="H21" i="3"/>
  <c r="AC21" i="3"/>
  <c r="X27" i="2"/>
  <c r="AB11" i="3"/>
  <c r="AB27" i="2" s="1"/>
  <c r="W15" i="3"/>
  <c r="W14" i="2"/>
  <c r="Z13" i="2"/>
  <c r="N21" i="3"/>
  <c r="AC14" i="2"/>
  <c r="AC27" i="2"/>
  <c r="Y28" i="2"/>
  <c r="AC8" i="2"/>
  <c r="X8" i="2"/>
  <c r="AB30" i="2"/>
  <c r="K14" i="2"/>
  <c r="K16" i="2"/>
  <c r="K17" i="2"/>
  <c r="K15" i="2"/>
  <c r="AB17" i="3"/>
  <c r="AB28" i="2" s="1"/>
  <c r="X28" i="2"/>
  <c r="H9" i="3"/>
  <c r="H26" i="2" s="1"/>
  <c r="O16" i="2"/>
  <c r="O14" i="2"/>
  <c r="G9" i="4"/>
  <c r="G12" i="4"/>
  <c r="AC13" i="2"/>
  <c r="W8" i="6"/>
  <c r="W9" i="6" s="1"/>
  <c r="H18" i="2"/>
  <c r="AB19" i="6"/>
  <c r="AB10" i="2"/>
  <c r="Z10" i="3"/>
  <c r="Z9" i="3"/>
  <c r="Z26" i="2" s="1"/>
  <c r="R27" i="2"/>
  <c r="AB20" i="3"/>
  <c r="S9" i="4"/>
  <c r="S12" i="4"/>
  <c r="T21" i="4"/>
  <c r="R26" i="4"/>
  <c r="N27" i="4"/>
  <c r="W26" i="4"/>
  <c r="Z30" i="5"/>
  <c r="AB29" i="5"/>
  <c r="Z9" i="6"/>
  <c r="AB6" i="6"/>
  <c r="AB8" i="2"/>
  <c r="H27" i="2"/>
  <c r="O21" i="3"/>
  <c r="H13" i="2"/>
  <c r="S21" i="3"/>
  <c r="G16" i="2"/>
  <c r="G14" i="2"/>
  <c r="U21" i="4"/>
  <c r="X9" i="5"/>
  <c r="R9" i="6"/>
  <c r="R18" i="2"/>
  <c r="Y8" i="2"/>
  <c r="M18" i="2"/>
  <c r="M27" i="2"/>
  <c r="AB14" i="3"/>
  <c r="M6" i="4"/>
  <c r="M15" i="2" s="1"/>
  <c r="Z14" i="2"/>
  <c r="AB6" i="4"/>
  <c r="AB14" i="2" s="1"/>
  <c r="K9" i="4"/>
  <c r="K12" i="4"/>
  <c r="H9" i="5"/>
  <c r="U19" i="5"/>
  <c r="W16" i="5"/>
  <c r="G15" i="2"/>
  <c r="R28" i="2"/>
  <c r="M9" i="3"/>
  <c r="M26" i="2" s="1"/>
  <c r="Y10" i="3"/>
  <c r="Y15" i="3"/>
  <c r="J6" i="4"/>
  <c r="W7" i="4"/>
  <c r="AB13" i="2"/>
  <c r="X18" i="4"/>
  <c r="AC21" i="4"/>
  <c r="G30" i="4"/>
  <c r="G27" i="4"/>
  <c r="Z27" i="4"/>
  <c r="N30" i="4"/>
  <c r="S9" i="6"/>
  <c r="AA9" i="6"/>
  <c r="AB13" i="6"/>
  <c r="W15" i="6"/>
  <c r="X21" i="6"/>
  <c r="X10" i="3"/>
  <c r="AB8" i="3"/>
  <c r="AB9" i="3" s="1"/>
  <c r="AB26" i="2" s="1"/>
  <c r="R7" i="4"/>
  <c r="J9" i="4"/>
  <c r="O27" i="4"/>
  <c r="O30" i="4"/>
  <c r="AC26" i="2"/>
  <c r="X15" i="3"/>
  <c r="R6" i="4"/>
  <c r="I7" i="4"/>
  <c r="M7" i="4" s="1"/>
  <c r="H26" i="4"/>
  <c r="F27" i="4"/>
  <c r="O17" i="2"/>
  <c r="AB12" i="3"/>
  <c r="H15" i="3"/>
  <c r="X21" i="3"/>
  <c r="I21" i="3"/>
  <c r="N8" i="4"/>
  <c r="W8" i="4"/>
  <c r="Y13" i="2"/>
  <c r="H18" i="4"/>
  <c r="Y18" i="4"/>
  <c r="S27" i="4"/>
  <c r="AA27" i="4"/>
  <c r="T21" i="3"/>
  <c r="F9" i="4"/>
  <c r="H8" i="4"/>
  <c r="X9" i="3"/>
  <c r="X26" i="2" s="1"/>
  <c r="AB16" i="3"/>
  <c r="O8" i="4"/>
  <c r="AB10" i="4"/>
  <c r="M13" i="2"/>
  <c r="M18" i="4"/>
  <c r="W19" i="4"/>
  <c r="R25" i="4"/>
  <c r="J27" i="4"/>
  <c r="AB7" i="5"/>
  <c r="W8" i="5"/>
  <c r="W9" i="5" s="1"/>
  <c r="S9" i="5"/>
  <c r="AB18" i="5"/>
  <c r="AB19" i="5" s="1"/>
  <c r="X12" i="4"/>
  <c r="AB14" i="6"/>
  <c r="W17" i="4"/>
  <c r="P30" i="4"/>
  <c r="X30" i="4"/>
  <c r="S19" i="5"/>
  <c r="P12" i="4"/>
  <c r="V21" i="4"/>
  <c r="L16" i="2"/>
  <c r="X9" i="4"/>
  <c r="J12" i="4"/>
  <c r="Z12" i="4"/>
  <c r="H21" i="4"/>
  <c r="X21" i="4"/>
  <c r="X27" i="4"/>
  <c r="X9" i="6"/>
  <c r="AA12" i="4"/>
  <c r="Y21" i="4"/>
  <c r="D17" i="2"/>
  <c r="K30" i="4"/>
  <c r="S30" i="4"/>
  <c r="AA30" i="4"/>
  <c r="AB21" i="6" l="1"/>
  <c r="W19" i="5"/>
  <c r="AB30" i="5"/>
  <c r="K21" i="3"/>
  <c r="AB10" i="3"/>
  <c r="AB9" i="6"/>
  <c r="P21" i="3"/>
  <c r="AB9" i="5"/>
  <c r="AB18" i="4"/>
  <c r="AB15" i="6"/>
  <c r="AB30" i="4"/>
  <c r="I12" i="4"/>
  <c r="H6" i="4"/>
  <c r="D14" i="2"/>
  <c r="D9" i="4"/>
  <c r="D15" i="2"/>
  <c r="M8" i="4"/>
  <c r="M12" i="4" s="1"/>
  <c r="Z21" i="3"/>
  <c r="U21" i="3"/>
  <c r="H12" i="4"/>
  <c r="H27" i="4"/>
  <c r="H30" i="4"/>
  <c r="J21" i="3"/>
  <c r="E10" i="4"/>
  <c r="W18" i="4"/>
  <c r="W21" i="4"/>
  <c r="F10" i="4"/>
  <c r="M20" i="3"/>
  <c r="M17" i="2"/>
  <c r="M16" i="2"/>
  <c r="M14" i="2"/>
  <c r="W27" i="4"/>
  <c r="W30" i="4"/>
  <c r="R19" i="3"/>
  <c r="W19" i="3"/>
  <c r="W9" i="4"/>
  <c r="W12" i="4"/>
  <c r="R8" i="4"/>
  <c r="N9" i="4"/>
  <c r="N12" i="4"/>
  <c r="O9" i="4"/>
  <c r="O12" i="4"/>
  <c r="AB15" i="3"/>
  <c r="J14" i="2"/>
  <c r="J17" i="2"/>
  <c r="J15" i="2"/>
  <c r="J16" i="2"/>
  <c r="AB9" i="4"/>
  <c r="R14" i="2"/>
  <c r="R17" i="2"/>
  <c r="R15" i="2"/>
  <c r="R16" i="2"/>
  <c r="R20" i="3"/>
  <c r="R27" i="4"/>
  <c r="R30" i="4"/>
  <c r="H17" i="2" l="1"/>
  <c r="H15" i="2"/>
  <c r="H14" i="2"/>
  <c r="H16" i="2"/>
  <c r="M9" i="4"/>
  <c r="H9" i="4"/>
  <c r="V21" i="3"/>
  <c r="W21" i="3" s="1"/>
  <c r="R9" i="4"/>
  <c r="R12" i="4"/>
  <c r="L21" i="3"/>
  <c r="M21" i="3" s="1"/>
  <c r="AA21" i="3"/>
  <c r="AB21" i="3" s="1"/>
  <c r="AB19" i="3"/>
  <c r="G10" i="4"/>
  <c r="H10" i="4" s="1"/>
  <c r="Q21" i="3"/>
  <c r="R21" i="3" s="1"/>
  <c r="M19" i="3"/>
  <c r="W20" i="3" l="1"/>
  <c r="H28" i="4"/>
</calcChain>
</file>

<file path=xl/sharedStrings.xml><?xml version="1.0" encoding="utf-8"?>
<sst xmlns="http://schemas.openxmlformats.org/spreadsheetml/2006/main" count="220" uniqueCount="95">
  <si>
    <t>Tata Communications Data Pack - FY 2018 to present</t>
  </si>
  <si>
    <t>- Click a link below to navigate to that section of the workbook. Each sheet contains a link back to this main page.
- Note : Effective 1 April 2019, the Company adopted Ind AS 116 “Leases” and applied the standard to all lease contracts existing on 1 April 2019 using the modified retrospective method. As a result, the financials have been adjusted to reflect the same.
- FY 21 numbers have been restated as per the new nomenclature and grouping for comparison purposes
- FY 22 numbers have been recasted for better comparison</t>
  </si>
  <si>
    <t>Navigation</t>
  </si>
  <si>
    <t>Key Metrics</t>
  </si>
  <si>
    <t>Consolidated Quarterly Income Statements</t>
  </si>
  <si>
    <t>Segment history</t>
  </si>
  <si>
    <t>Portfolio Financials</t>
  </si>
  <si>
    <t>Rental and Subs PL</t>
  </si>
  <si>
    <t>Tata Communications Limited</t>
  </si>
  <si>
    <t>Index</t>
  </si>
  <si>
    <t>Key Operating Metrics</t>
  </si>
  <si>
    <t>Particulars</t>
  </si>
  <si>
    <t>Units</t>
  </si>
  <si>
    <t>FY 2018*</t>
  </si>
  <si>
    <t>FY 2019*</t>
  </si>
  <si>
    <t>FY 2020*</t>
  </si>
  <si>
    <t>FY 2021</t>
  </si>
  <si>
    <t>FY 2022</t>
  </si>
  <si>
    <t>Operating Highlights</t>
  </si>
  <si>
    <r>
      <t>95</t>
    </r>
    <r>
      <rPr>
        <vertAlign val="superscript"/>
        <sz val="11"/>
        <color rgb="FF808080"/>
        <rFont val="Calibri"/>
        <family val="2"/>
        <scheme val="minor"/>
      </rPr>
      <t>th</t>
    </r>
    <r>
      <rPr>
        <sz val="11"/>
        <color rgb="FF808080"/>
        <rFont val="Calibri"/>
        <family val="2"/>
        <scheme val="minor"/>
      </rPr>
      <t xml:space="preserve"> Percentile Bandwidth Usage</t>
    </r>
  </si>
  <si>
    <t>Tbps/month</t>
  </si>
  <si>
    <t>Total Voice Minutes</t>
  </si>
  <si>
    <t>Bn, Minutes</t>
  </si>
  <si>
    <t>International Long Distrance</t>
  </si>
  <si>
    <t>National Long Distance</t>
  </si>
  <si>
    <t>Revenue by Line of Business</t>
  </si>
  <si>
    <t>Voice</t>
  </si>
  <si>
    <t>%</t>
  </si>
  <si>
    <t>Data</t>
  </si>
  <si>
    <t>Core Connectivity</t>
  </si>
  <si>
    <t>Digital Platforms and Services</t>
  </si>
  <si>
    <t>Incubation Services</t>
  </si>
  <si>
    <t>Others (Subsidiaries + Real Estate)</t>
  </si>
  <si>
    <t>Data Revenue by Segment</t>
  </si>
  <si>
    <t>Service Provider</t>
  </si>
  <si>
    <t>Enterprise</t>
  </si>
  <si>
    <t>Financial Highlights</t>
  </si>
  <si>
    <t>Key Ratios</t>
  </si>
  <si>
    <t>EBITDA Margin</t>
  </si>
  <si>
    <t>EBIT Margin</t>
  </si>
  <si>
    <t>Net Profit Margin</t>
  </si>
  <si>
    <t>Net Debt to EBITDA (LTM)</t>
  </si>
  <si>
    <t>Times</t>
  </si>
  <si>
    <t>Weighted Average Cost of Debt</t>
  </si>
  <si>
    <t>Interest Coverage Ratio (LTM)</t>
  </si>
  <si>
    <t>Return on Capital Employed</t>
  </si>
  <si>
    <t>Valuation Indicators</t>
  </si>
  <si>
    <t>Market Capitalisation</t>
  </si>
  <si>
    <t>₹, Cr</t>
  </si>
  <si>
    <t>Enterprise Value</t>
  </si>
  <si>
    <t>EV / EBITDA (LTM)</t>
  </si>
  <si>
    <t>* Note:  FY 18, 19, 20 numbers are as per the old nomenclature</t>
  </si>
  <si>
    <t>Quarterly Consolidated P&amp;L - INR crores</t>
  </si>
  <si>
    <t>FY 2018</t>
  </si>
  <si>
    <t>FY 2019</t>
  </si>
  <si>
    <t>FY 2020</t>
  </si>
  <si>
    <t>Gross Revenue</t>
  </si>
  <si>
    <t>Net Revenue</t>
  </si>
  <si>
    <t>EBITDA</t>
  </si>
  <si>
    <t>Depreciation &amp; Amortisation</t>
  </si>
  <si>
    <t xml:space="preserve">EBIT </t>
  </si>
  <si>
    <t>Other Income</t>
  </si>
  <si>
    <t>Finance Cost</t>
  </si>
  <si>
    <t>Exceptional Items</t>
  </si>
  <si>
    <t>Profit Before Tax</t>
  </si>
  <si>
    <t>Tax Expense</t>
  </si>
  <si>
    <t>Profit After Tax</t>
  </si>
  <si>
    <t>Cash from Operations</t>
  </si>
  <si>
    <t>Cash Capex</t>
  </si>
  <si>
    <t>Free Cash Flow</t>
  </si>
  <si>
    <t>Segment P&amp;L - INR crores</t>
  </si>
  <si>
    <t>DATA*</t>
  </si>
  <si>
    <t>Committed Capex</t>
  </si>
  <si>
    <t>EBITDA adjusted for Committed Capex</t>
  </si>
  <si>
    <t>VOICE</t>
  </si>
  <si>
    <t>OTHERS (RENTAL + SUBSIDIARIES)</t>
  </si>
  <si>
    <t>Capex</t>
  </si>
  <si>
    <t>*Note:  All Data numbers are re-stated exclusive of 'Others', i.e., Real Estate and Subsidiaries as part of nomenclature change</t>
  </si>
  <si>
    <t>Portfolio P&amp;L - INR crores</t>
  </si>
  <si>
    <t>CORE CONNECTIVITY</t>
  </si>
  <si>
    <t>Core Connectivity revenue by customer segment</t>
  </si>
  <si>
    <t>Service Provider (wholesale)</t>
  </si>
  <si>
    <t>DIGITAL PLATFORMS AND SERVICES</t>
  </si>
  <si>
    <t>n/a</t>
  </si>
  <si>
    <t>Digital Platforms revenue by product segment</t>
  </si>
  <si>
    <t>Collaboration &amp; CPaaS</t>
  </si>
  <si>
    <t>Cloud, Hosting and Security</t>
  </si>
  <si>
    <t>Next Gen Connectivity
(IZO &amp; SDWAN)</t>
  </si>
  <si>
    <t>Media Services</t>
  </si>
  <si>
    <t>INCUBATION</t>
  </si>
  <si>
    <t>SNOSPV cost included in Traditional</t>
  </si>
  <si>
    <t>Rental and Subs P&amp;L - INR crores</t>
  </si>
  <si>
    <t>RENTALS</t>
  </si>
  <si>
    <t>TCTSL</t>
  </si>
  <si>
    <t>TCPSL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</si>
</sst>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 * #,##0.00_ ;_ * \-#,##0.00_ ;_ * &quot;-&quot;??_ ;_ @_ "/>
    <numFmt numFmtId="164" formatCode="_([$€-2]* #,##0.00_);_([$€-2]* \(#,##0.00\);_([$€-2]* &quot;-&quot;??_)"/>
    <numFmt numFmtId="165" formatCode="mmm/yyyy"/>
    <numFmt numFmtId="166" formatCode="0.0"/>
    <numFmt numFmtId="167" formatCode="_ * #,##0.0_ ;_ * \-#,##0.0_ ;_ * &quot;-&quot;??_ ;_ @_ "/>
    <numFmt numFmtId="168" formatCode="0.0%"/>
    <numFmt numFmtId="169" formatCode="#,##0.0"/>
    <numFmt numFmtId="170" formatCode="_(* #,##0_);_(* \(#,##0\);_(* &quot;-&quot;_);_(@_)"/>
    <numFmt numFmtId="171" formatCode="0.0;\(0.0\)"/>
    <numFmt numFmtId="172" formatCode="#,##0.0%"/>
    <numFmt numFmtId="173" formatCode="#,##0.000"/>
    <numFmt numFmtId="174" formatCode="_(* #,##0.0_);_(* \(#,##0.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u/>
      <sz val="11"/>
      <color theme="0"/>
      <name val="Calibri"/>
      <family val="2"/>
      <scheme val="minor"/>
    </font>
    <font>
      <u/>
      <sz val="11"/>
      <color rgb="FF808080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2F75B5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rgb="FF80808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1"/>
      <color rgb="FF808080"/>
      <name val="Calibri"/>
      <family val="2"/>
      <scheme val="minor"/>
    </font>
    <font>
      <sz val="8"/>
      <name val="Arial"/>
      <family val="2"/>
    </font>
    <font>
      <b/>
      <sz val="11"/>
      <color rgb="FF2F75B5"/>
      <name val="Calibri"/>
      <family val="2"/>
      <scheme val="minor"/>
    </font>
    <font>
      <b/>
      <sz val="12"/>
      <color theme="0"/>
      <name val="Calibri"/>
      <family val="2"/>
      <scheme val="minor"/>
    </font>
    <font>
      <vertAlign val="superscript"/>
      <sz val="11"/>
      <color rgb="FF80808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8"/>
      <color theme="1"/>
      <name val="Arial"/>
      <family val="2"/>
    </font>
    <font>
      <sz val="8"/>
      <color rgb="FF808080"/>
      <name val="Arial"/>
      <family val="2"/>
    </font>
    <font>
      <sz val="11"/>
      <color theme="0" tint="-0.499984740745262"/>
      <name val="Calibri"/>
      <family val="2"/>
      <scheme val="minor"/>
    </font>
    <font>
      <sz val="8"/>
      <color rgb="FF2F75B5"/>
      <name val="Arial"/>
      <family val="2"/>
    </font>
    <font>
      <sz val="8"/>
      <color theme="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0" tint="-0.1499984740745262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4" fontId="1" fillId="0" borderId="0"/>
    <xf numFmtId="0" fontId="15" fillId="0" borderId="0"/>
  </cellStyleXfs>
  <cellXfs count="1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4" fillId="0" borderId="0" xfId="0" quotePrefix="1" applyFont="1" applyAlignment="1">
      <alignment vertical="center" wrapText="1"/>
    </xf>
    <xf numFmtId="0" fontId="5" fillId="0" borderId="0" xfId="0" applyFont="1"/>
    <xf numFmtId="0" fontId="2" fillId="0" borderId="0" xfId="3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0" borderId="0" xfId="0" applyFont="1"/>
    <xf numFmtId="0" fontId="7" fillId="2" borderId="0" xfId="3" applyFont="1" applyFill="1" applyBorder="1" applyAlignment="1">
      <alignment vertical="center"/>
    </xf>
    <xf numFmtId="0" fontId="8" fillId="0" borderId="0" xfId="3" applyFont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4" applyNumberFormat="1" applyFont="1" applyAlignment="1">
      <alignment vertical="center" wrapText="1"/>
    </xf>
    <xf numFmtId="0" fontId="14" fillId="0" borderId="9" xfId="4" applyNumberFormat="1" applyFont="1" applyBorder="1" applyAlignment="1">
      <alignment horizontal="center" vertical="center" wrapText="1"/>
    </xf>
    <xf numFmtId="165" fontId="14" fillId="0" borderId="9" xfId="5" quotePrefix="1" applyNumberFormat="1" applyFont="1" applyBorder="1" applyAlignment="1">
      <alignment horizontal="center" vertical="center"/>
    </xf>
    <xf numFmtId="165" fontId="16" fillId="0" borderId="9" xfId="5" quotePrefix="1" applyNumberFormat="1" applyFont="1" applyBorder="1" applyAlignment="1">
      <alignment horizontal="center" vertical="center"/>
    </xf>
    <xf numFmtId="0" fontId="17" fillId="3" borderId="0" xfId="4" applyNumberFormat="1" applyFont="1" applyFill="1" applyAlignment="1">
      <alignment vertical="center" wrapText="1"/>
    </xf>
    <xf numFmtId="0" fontId="14" fillId="0" borderId="0" xfId="4" applyNumberFormat="1" applyFont="1" applyAlignment="1">
      <alignment vertical="center" wrapText="1"/>
    </xf>
    <xf numFmtId="165" fontId="14" fillId="0" borderId="0" xfId="5" quotePrefix="1" applyNumberFormat="1" applyFont="1" applyAlignment="1">
      <alignment horizontal="center" vertical="center"/>
    </xf>
    <xf numFmtId="165" fontId="16" fillId="0" borderId="0" xfId="5" quotePrefix="1" applyNumberFormat="1" applyFont="1" applyAlignment="1">
      <alignment horizontal="center" vertical="center"/>
    </xf>
    <xf numFmtId="0" fontId="19" fillId="0" borderId="0" xfId="0" applyFont="1"/>
    <xf numFmtId="0" fontId="9" fillId="0" borderId="0" xfId="0" applyFont="1" applyAlignment="1">
      <alignment horizontal="center"/>
    </xf>
    <xf numFmtId="166" fontId="9" fillId="0" borderId="0" xfId="0" applyNumberFormat="1" applyFont="1"/>
    <xf numFmtId="166" fontId="10" fillId="0" borderId="0" xfId="0" applyNumberFormat="1" applyFont="1"/>
    <xf numFmtId="167" fontId="9" fillId="0" borderId="0" xfId="1" applyNumberFormat="1" applyFont="1" applyFill="1" applyBorder="1"/>
    <xf numFmtId="0" fontId="14" fillId="0" borderId="0" xfId="0" applyFont="1"/>
    <xf numFmtId="166" fontId="19" fillId="0" borderId="0" xfId="0" applyNumberFormat="1" applyFont="1"/>
    <xf numFmtId="0" fontId="9" fillId="4" borderId="0" xfId="0" applyFont="1" applyFill="1" applyAlignment="1">
      <alignment horizontal="left" indent="1"/>
    </xf>
    <xf numFmtId="0" fontId="13" fillId="0" borderId="0" xfId="0" applyFont="1"/>
    <xf numFmtId="166" fontId="20" fillId="0" borderId="0" xfId="0" applyNumberFormat="1" applyFont="1"/>
    <xf numFmtId="0" fontId="20" fillId="0" borderId="0" xfId="0" applyFont="1" applyAlignment="1">
      <alignment horizontal="left" indent="1"/>
    </xf>
    <xf numFmtId="0" fontId="20" fillId="0" borderId="0" xfId="0" applyFont="1"/>
    <xf numFmtId="168" fontId="13" fillId="0" borderId="0" xfId="2" applyNumberFormat="1" applyFont="1" applyBorder="1" applyAlignment="1">
      <alignment horizontal="left"/>
    </xf>
    <xf numFmtId="168" fontId="13" fillId="0" borderId="0" xfId="2" applyNumberFormat="1" applyFont="1" applyBorder="1"/>
    <xf numFmtId="168" fontId="9" fillId="0" borderId="0" xfId="2" applyNumberFormat="1" applyFont="1" applyBorder="1" applyAlignment="1">
      <alignment horizontal="center"/>
    </xf>
    <xf numFmtId="168" fontId="14" fillId="0" borderId="0" xfId="2" applyNumberFormat="1" applyFont="1" applyFill="1" applyBorder="1"/>
    <xf numFmtId="168" fontId="16" fillId="0" borderId="0" xfId="2" applyNumberFormat="1" applyFont="1" applyFill="1" applyBorder="1"/>
    <xf numFmtId="168" fontId="20" fillId="0" borderId="0" xfId="2" applyNumberFormat="1" applyFont="1" applyBorder="1" applyAlignment="1">
      <alignment horizontal="left" indent="1"/>
    </xf>
    <xf numFmtId="168" fontId="9" fillId="0" borderId="0" xfId="2" applyNumberFormat="1" applyFont="1" applyFill="1" applyBorder="1"/>
    <xf numFmtId="168" fontId="10" fillId="0" borderId="0" xfId="2" applyNumberFormat="1" applyFont="1" applyFill="1" applyBorder="1"/>
    <xf numFmtId="168" fontId="20" fillId="0" borderId="0" xfId="2" applyNumberFormat="1" applyFont="1" applyBorder="1"/>
    <xf numFmtId="10" fontId="10" fillId="0" borderId="0" xfId="2" applyNumberFormat="1" applyFont="1" applyFill="1" applyBorder="1"/>
    <xf numFmtId="168" fontId="9" fillId="0" borderId="0" xfId="2" applyNumberFormat="1" applyFont="1" applyBorder="1"/>
    <xf numFmtId="168" fontId="9" fillId="0" borderId="0" xfId="2" quotePrefix="1" applyNumberFormat="1" applyFont="1" applyFill="1" applyBorder="1" applyAlignment="1">
      <alignment horizontal="right" vertical="center"/>
    </xf>
    <xf numFmtId="169" fontId="9" fillId="0" borderId="0" xfId="0" applyNumberFormat="1" applyFont="1"/>
    <xf numFmtId="169" fontId="10" fillId="0" borderId="0" xfId="0" applyNumberFormat="1" applyFont="1"/>
    <xf numFmtId="169" fontId="9" fillId="0" borderId="0" xfId="1" quotePrefix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/>
    <xf numFmtId="0" fontId="21" fillId="0" borderId="0" xfId="0" applyFont="1"/>
    <xf numFmtId="168" fontId="22" fillId="0" borderId="0" xfId="2" quotePrefix="1" applyNumberFormat="1" applyFont="1" applyFill="1" applyBorder="1" applyAlignment="1">
      <alignment horizontal="right" vertical="center"/>
    </xf>
    <xf numFmtId="168" fontId="9" fillId="0" borderId="0" xfId="0" applyNumberFormat="1" applyFont="1"/>
    <xf numFmtId="0" fontId="9" fillId="0" borderId="0" xfId="5" quotePrefix="1" applyFont="1" applyAlignment="1">
      <alignment horizontal="right" vertical="center"/>
    </xf>
    <xf numFmtId="170" fontId="10" fillId="0" borderId="0" xfId="0" applyNumberFormat="1" applyFont="1"/>
    <xf numFmtId="170" fontId="9" fillId="0" borderId="0" xfId="0" applyNumberFormat="1" applyFont="1"/>
    <xf numFmtId="169" fontId="9" fillId="0" borderId="0" xfId="5" quotePrefix="1" applyNumberFormat="1" applyFont="1" applyAlignment="1">
      <alignment horizontal="right" vertical="center"/>
    </xf>
    <xf numFmtId="0" fontId="13" fillId="0" borderId="0" xfId="0" applyFont="1" applyAlignment="1">
      <alignment horizontal="left" indent="1"/>
    </xf>
    <xf numFmtId="0" fontId="7" fillId="2" borderId="0" xfId="3" applyFont="1" applyFill="1" applyAlignment="1">
      <alignment vertical="center"/>
    </xf>
    <xf numFmtId="0" fontId="2" fillId="0" borderId="0" xfId="3" applyAlignment="1">
      <alignment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10" xfId="4" applyNumberFormat="1" applyFont="1" applyBorder="1" applyAlignment="1">
      <alignment vertical="center" wrapText="1"/>
    </xf>
    <xf numFmtId="0" fontId="9" fillId="0" borderId="10" xfId="0" applyFont="1" applyBorder="1"/>
    <xf numFmtId="0" fontId="23" fillId="0" borderId="0" xfId="0" applyFont="1"/>
    <xf numFmtId="167" fontId="10" fillId="0" borderId="0" xfId="1" applyNumberFormat="1" applyFont="1" applyFill="1" applyBorder="1"/>
    <xf numFmtId="166" fontId="9" fillId="0" borderId="11" xfId="0" applyNumberFormat="1" applyFont="1" applyBorder="1"/>
    <xf numFmtId="166" fontId="10" fillId="0" borderId="11" xfId="0" applyNumberFormat="1" applyFont="1" applyBorder="1"/>
    <xf numFmtId="167" fontId="9" fillId="0" borderId="11" xfId="1" applyNumberFormat="1" applyFont="1" applyFill="1" applyBorder="1"/>
    <xf numFmtId="169" fontId="10" fillId="0" borderId="11" xfId="1" applyNumberFormat="1" applyFont="1" applyFill="1" applyBorder="1"/>
    <xf numFmtId="167" fontId="10" fillId="0" borderId="11" xfId="1" applyNumberFormat="1" applyFont="1" applyFill="1" applyBorder="1"/>
    <xf numFmtId="169" fontId="10" fillId="0" borderId="0" xfId="1" applyNumberFormat="1" applyFont="1" applyFill="1" applyBorder="1"/>
    <xf numFmtId="171" fontId="9" fillId="0" borderId="0" xfId="1" applyNumberFormat="1" applyFont="1" applyFill="1" applyBorder="1"/>
    <xf numFmtId="166" fontId="9" fillId="0" borderId="0" xfId="1" applyNumberFormat="1" applyFont="1" applyFill="1" applyBorder="1"/>
    <xf numFmtId="171" fontId="9" fillId="0" borderId="0" xfId="0" applyNumberFormat="1" applyFont="1"/>
    <xf numFmtId="166" fontId="9" fillId="0" borderId="12" xfId="0" applyNumberFormat="1" applyFont="1" applyBorder="1"/>
    <xf numFmtId="169" fontId="10" fillId="0" borderId="12" xfId="0" applyNumberFormat="1" applyFont="1" applyBorder="1"/>
    <xf numFmtId="167" fontId="9" fillId="0" borderId="12" xfId="1" applyNumberFormat="1" applyFont="1" applyFill="1" applyBorder="1"/>
    <xf numFmtId="169" fontId="10" fillId="0" borderId="12" xfId="1" applyNumberFormat="1" applyFont="1" applyFill="1" applyBorder="1"/>
    <xf numFmtId="43" fontId="10" fillId="0" borderId="0" xfId="0" applyNumberFormat="1" applyFont="1"/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3" fillId="0" borderId="10" xfId="4" applyNumberFormat="1" applyFont="1" applyBorder="1" applyAlignment="1">
      <alignment vertical="center" wrapText="1"/>
    </xf>
    <xf numFmtId="0" fontId="17" fillId="3" borderId="10" xfId="4" applyNumberFormat="1" applyFont="1" applyFill="1" applyBorder="1" applyAlignment="1">
      <alignment vertical="center" wrapText="1"/>
    </xf>
    <xf numFmtId="169" fontId="9" fillId="0" borderId="0" xfId="1" applyNumberFormat="1" applyFont="1" applyFill="1" applyBorder="1"/>
    <xf numFmtId="172" fontId="0" fillId="0" borderId="0" xfId="0" applyNumberFormat="1"/>
    <xf numFmtId="169" fontId="9" fillId="0" borderId="11" xfId="0" applyNumberFormat="1" applyFont="1" applyBorder="1"/>
    <xf numFmtId="169" fontId="10" fillId="0" borderId="11" xfId="0" applyNumberFormat="1" applyFont="1" applyBorder="1"/>
    <xf numFmtId="169" fontId="9" fillId="0" borderId="11" xfId="1" applyNumberFormat="1" applyFont="1" applyFill="1" applyBorder="1"/>
    <xf numFmtId="166" fontId="23" fillId="0" borderId="0" xfId="0" applyNumberFormat="1" applyFont="1"/>
    <xf numFmtId="169" fontId="0" fillId="0" borderId="0" xfId="0" applyNumberFormat="1"/>
    <xf numFmtId="0" fontId="21" fillId="0" borderId="10" xfId="0" applyFont="1" applyBorder="1"/>
    <xf numFmtId="166" fontId="22" fillId="0" borderId="0" xfId="0" applyNumberFormat="1" applyFont="1"/>
    <xf numFmtId="166" fontId="24" fillId="0" borderId="0" xfId="0" applyNumberFormat="1" applyFont="1"/>
    <xf numFmtId="167" fontId="22" fillId="0" borderId="0" xfId="1" applyNumberFormat="1" applyFont="1" applyFill="1" applyBorder="1"/>
    <xf numFmtId="167" fontId="24" fillId="0" borderId="0" xfId="1" applyNumberFormat="1" applyFont="1" applyFill="1" applyBorder="1"/>
    <xf numFmtId="169" fontId="22" fillId="0" borderId="0" xfId="1" applyNumberFormat="1" applyFont="1" applyFill="1" applyBorder="1"/>
    <xf numFmtId="169" fontId="24" fillId="0" borderId="0" xfId="1" applyNumberFormat="1" applyFont="1" applyFill="1" applyBorder="1"/>
    <xf numFmtId="0" fontId="17" fillId="3" borderId="0" xfId="0" applyFont="1" applyFill="1"/>
    <xf numFmtId="171" fontId="22" fillId="0" borderId="0" xfId="1" applyNumberFormat="1" applyFont="1" applyFill="1" applyBorder="1"/>
    <xf numFmtId="171" fontId="22" fillId="0" borderId="0" xfId="0" applyNumberFormat="1" applyFont="1"/>
    <xf numFmtId="4" fontId="9" fillId="0" borderId="11" xfId="0" applyNumberFormat="1" applyFont="1" applyBorder="1"/>
    <xf numFmtId="4" fontId="9" fillId="0" borderId="0" xfId="0" applyNumberFormat="1" applyFont="1"/>
    <xf numFmtId="0" fontId="23" fillId="0" borderId="10" xfId="0" applyFont="1" applyBorder="1"/>
    <xf numFmtId="0" fontId="19" fillId="0" borderId="10" xfId="0" applyFont="1" applyBorder="1"/>
    <xf numFmtId="0" fontId="13" fillId="0" borderId="0" xfId="0" applyFont="1" applyAlignment="1">
      <alignment horizontal="left" vertical="center" wrapText="1" indent="1"/>
    </xf>
    <xf numFmtId="0" fontId="22" fillId="0" borderId="0" xfId="0" applyFont="1"/>
    <xf numFmtId="0" fontId="24" fillId="0" borderId="0" xfId="0" applyFont="1"/>
    <xf numFmtId="169" fontId="22" fillId="0" borderId="0" xfId="0" applyNumberFormat="1" applyFont="1"/>
    <xf numFmtId="169" fontId="24" fillId="0" borderId="0" xfId="0" applyNumberFormat="1" applyFont="1"/>
    <xf numFmtId="0" fontId="25" fillId="0" borderId="13" xfId="0" applyFont="1" applyBorder="1"/>
    <xf numFmtId="168" fontId="9" fillId="0" borderId="0" xfId="2" applyNumberFormat="1" applyFont="1" applyFill="1" applyBorder="1" applyAlignment="1">
      <alignment horizontal="center"/>
    </xf>
    <xf numFmtId="168" fontId="10" fillId="0" borderId="0" xfId="2" applyNumberFormat="1" applyFont="1" applyFill="1" applyBorder="1" applyAlignment="1">
      <alignment horizontal="center"/>
    </xf>
    <xf numFmtId="0" fontId="25" fillId="0" borderId="0" xfId="0" applyFont="1"/>
    <xf numFmtId="4" fontId="10" fillId="0" borderId="0" xfId="0" applyNumberFormat="1" applyFont="1"/>
    <xf numFmtId="173" fontId="9" fillId="0" borderId="0" xfId="0" applyNumberFormat="1" applyFont="1"/>
    <xf numFmtId="0" fontId="13" fillId="0" borderId="0" xfId="0" applyFont="1" applyAlignment="1">
      <alignment horizontal="left" wrapText="1" indent="1"/>
    </xf>
    <xf numFmtId="169" fontId="14" fillId="0" borderId="0" xfId="5" quotePrefix="1" applyNumberFormat="1" applyFont="1" applyAlignment="1">
      <alignment horizontal="center" vertical="center"/>
    </xf>
    <xf numFmtId="0" fontId="23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169" fontId="10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9" fillId="0" borderId="0" xfId="1" applyNumberFormat="1" applyFont="1" applyFill="1" applyBorder="1" applyAlignment="1">
      <alignment horizontal="right"/>
    </xf>
    <xf numFmtId="166" fontId="9" fillId="0" borderId="11" xfId="0" applyNumberFormat="1" applyFont="1" applyBorder="1" applyAlignment="1">
      <alignment horizontal="right"/>
    </xf>
    <xf numFmtId="169" fontId="10" fillId="0" borderId="11" xfId="0" applyNumberFormat="1" applyFont="1" applyBorder="1" applyAlignment="1">
      <alignment horizontal="right"/>
    </xf>
    <xf numFmtId="169" fontId="9" fillId="0" borderId="11" xfId="0" applyNumberFormat="1" applyFont="1" applyBorder="1" applyAlignment="1">
      <alignment horizontal="right"/>
    </xf>
    <xf numFmtId="169" fontId="9" fillId="0" borderId="11" xfId="1" applyNumberFormat="1" applyFont="1" applyFill="1" applyBorder="1" applyAlignment="1">
      <alignment horizontal="right"/>
    </xf>
    <xf numFmtId="169" fontId="10" fillId="0" borderId="11" xfId="1" applyNumberFormat="1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168" fontId="9" fillId="0" borderId="0" xfId="2" applyNumberFormat="1" applyFont="1" applyFill="1" applyBorder="1" applyAlignment="1">
      <alignment horizontal="right"/>
    </xf>
    <xf numFmtId="168" fontId="10" fillId="0" borderId="0" xfId="2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169" fontId="24" fillId="0" borderId="0" xfId="0" applyNumberFormat="1" applyFont="1" applyAlignment="1">
      <alignment horizontal="right"/>
    </xf>
    <xf numFmtId="169" fontId="2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168" fontId="9" fillId="0" borderId="0" xfId="2" applyNumberFormat="1" applyFont="1" applyFill="1" applyBorder="1" applyAlignment="1">
      <alignment horizontal="right" vertical="top"/>
    </xf>
    <xf numFmtId="168" fontId="10" fillId="0" borderId="0" xfId="2" applyNumberFormat="1" applyFont="1" applyFill="1" applyBorder="1" applyAlignment="1">
      <alignment horizontal="right" vertical="top"/>
    </xf>
    <xf numFmtId="169" fontId="10" fillId="0" borderId="0" xfId="1" applyNumberFormat="1" applyFont="1" applyFill="1" applyAlignment="1">
      <alignment horizontal="right"/>
    </xf>
    <xf numFmtId="43" fontId="0" fillId="0" borderId="0" xfId="0" applyNumberFormat="1"/>
    <xf numFmtId="174" fontId="9" fillId="0" borderId="12" xfId="1" applyNumberFormat="1" applyFont="1" applyFill="1" applyBorder="1"/>
    <xf numFmtId="174" fontId="9" fillId="0" borderId="0" xfId="0" applyNumberFormat="1" applyFont="1"/>
  </cellXfs>
  <cellStyles count="6">
    <cellStyle name="Comma" xfId="1" builtinId="3"/>
    <cellStyle name="Hyperlink" xfId="3" builtinId="8"/>
    <cellStyle name="Normal" xfId="0" builtinId="0"/>
    <cellStyle name="Normal 3" xfId="4" xr:uid="{318EB2EE-691C-4E8C-A229-E7F97C99DD67}"/>
    <cellStyle name="Normal_Reconciliation" xfId="5" xr:uid="{70A0AFEA-3A35-4631-8C30-C9B746F8C03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5CA3E-0B72-4D3C-A6D9-B06150DF5A63}">
  <sheetPr codeName="Sheet1"/>
  <dimension ref="B1:D14"/>
  <sheetViews>
    <sheetView showGridLines="0" tabSelected="1" workbookViewId="0"/>
  </sheetViews>
  <sheetFormatPr defaultRowHeight="14.5" x14ac:dyDescent="0.35"/>
  <cols>
    <col min="1" max="1" width="1.453125" customWidth="1"/>
    <col min="2" max="2" width="4.7265625" customWidth="1"/>
    <col min="3" max="3" width="67.7265625" customWidth="1"/>
  </cols>
  <sheetData>
    <row r="1" spans="2:4" ht="10.5" customHeight="1" thickBot="1" x14ac:dyDescent="0.4"/>
    <row r="2" spans="2:4" x14ac:dyDescent="0.35">
      <c r="B2" s="1"/>
      <c r="C2" s="2"/>
      <c r="D2" s="3"/>
    </row>
    <row r="3" spans="2:4" ht="21" x14ac:dyDescent="0.5">
      <c r="B3" s="4"/>
      <c r="C3" s="5" t="s">
        <v>0</v>
      </c>
      <c r="D3" s="6"/>
    </row>
    <row r="4" spans="2:4" x14ac:dyDescent="0.35">
      <c r="B4" s="4"/>
      <c r="D4" s="6"/>
    </row>
    <row r="5" spans="2:4" ht="130.5" x14ac:dyDescent="0.35">
      <c r="B5" s="4"/>
      <c r="C5" s="7" t="s">
        <v>1</v>
      </c>
      <c r="D5" s="6"/>
    </row>
    <row r="6" spans="2:4" x14ac:dyDescent="0.35">
      <c r="B6" s="4"/>
      <c r="C6" s="7"/>
      <c r="D6" s="6"/>
    </row>
    <row r="7" spans="2:4" x14ac:dyDescent="0.35">
      <c r="B7" s="4"/>
      <c r="D7" s="6"/>
    </row>
    <row r="8" spans="2:4" ht="15.5" x14ac:dyDescent="0.35">
      <c r="B8" s="4"/>
      <c r="C8" s="8" t="s">
        <v>2</v>
      </c>
      <c r="D8" s="6"/>
    </row>
    <row r="9" spans="2:4" x14ac:dyDescent="0.35">
      <c r="B9" s="4">
        <v>1</v>
      </c>
      <c r="C9" s="9" t="s">
        <v>3</v>
      </c>
      <c r="D9" s="6"/>
    </row>
    <row r="10" spans="2:4" x14ac:dyDescent="0.35">
      <c r="B10" s="4">
        <v>2</v>
      </c>
      <c r="C10" s="9" t="s">
        <v>4</v>
      </c>
      <c r="D10" s="6"/>
    </row>
    <row r="11" spans="2:4" x14ac:dyDescent="0.35">
      <c r="B11" s="4">
        <v>3</v>
      </c>
      <c r="C11" s="9" t="s">
        <v>5</v>
      </c>
      <c r="D11" s="6"/>
    </row>
    <row r="12" spans="2:4" x14ac:dyDescent="0.35">
      <c r="B12" s="4">
        <v>4</v>
      </c>
      <c r="C12" s="9" t="s">
        <v>6</v>
      </c>
      <c r="D12" s="6"/>
    </row>
    <row r="13" spans="2:4" x14ac:dyDescent="0.35">
      <c r="B13" s="4">
        <v>5</v>
      </c>
      <c r="C13" s="9" t="s">
        <v>7</v>
      </c>
      <c r="D13" s="6"/>
    </row>
    <row r="14" spans="2:4" ht="15" thickBot="1" x14ac:dyDescent="0.4">
      <c r="B14" s="10"/>
      <c r="C14" s="11"/>
      <c r="D14" s="12"/>
    </row>
  </sheetData>
  <hyperlinks>
    <hyperlink ref="C9" location="'Key Metrics'!A2" display="Key Metrics" xr:uid="{C799169F-DF1D-49AA-8916-107FC663FF1B}"/>
    <hyperlink ref="C10" location="'Consolidated PL'!A2" display="Consolidated Quarterly Income Statements" xr:uid="{F9777D41-D9BA-491D-8AF7-32E28A358686}"/>
    <hyperlink ref="C11" location="'Data and Voice'!A1" display="Segment history" xr:uid="{CEAAC9A0-35DE-46C0-920C-FF97EAF8507D}"/>
    <hyperlink ref="C12" location="'Data Portfolio'!A1" display="Portfolio Financials" xr:uid="{6A2405E7-6382-44C6-BF4B-726BB545D2A7}"/>
    <hyperlink ref="C13" location="'Others (Rental and Subs)'!A1" display="Rental and Subs PL" xr:uid="{D3A9D4BD-CA2A-4809-BAF2-21544A9D4980}"/>
  </hyperlinks>
  <pageMargins left="0.7" right="0.7" top="0.75" bottom="0.75" header="0.3" footer="0.3"/>
  <pageSetup orientation="portrait" r:id="rId1"/>
  <headerFooter>
    <oddFooter>&amp;L_x000D_&amp;1#&amp;"Calibri"&amp;10&amp;K000000 Tata Communications - 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7F5EF-4CE6-4F71-97E9-EA784305B267}">
  <sheetPr codeName="Sheet2"/>
  <dimension ref="A1:AD40"/>
  <sheetViews>
    <sheetView showGridLines="0" workbookViewId="0">
      <pane xSplit="3" ySplit="4" topLeftCell="H5" activePane="bottomRight" state="frozen"/>
      <selection pane="topRight"/>
      <selection pane="bottomLeft"/>
      <selection pane="bottomRight" activeCell="AD4" sqref="AD4"/>
    </sheetView>
  </sheetViews>
  <sheetFormatPr defaultColWidth="9.1796875" defaultRowHeight="14.5" outlineLevelCol="1" x14ac:dyDescent="0.35"/>
  <cols>
    <col min="1" max="1" width="40.1796875" customWidth="1"/>
    <col min="2" max="2" width="5.7265625" customWidth="1"/>
    <col min="3" max="3" width="11.81640625" style="16" bestFit="1" customWidth="1"/>
    <col min="4" max="7" width="9.1796875" style="16" hidden="1" customWidth="1" outlineLevel="1"/>
    <col min="8" max="8" width="9.1796875" style="17" customWidth="1" collapsed="1"/>
    <col min="9" max="12" width="9.1796875" style="16" hidden="1" customWidth="1" outlineLevel="1"/>
    <col min="13" max="13" width="9.1796875" style="17" customWidth="1" collapsed="1"/>
    <col min="14" max="17" width="9.1796875" style="16" hidden="1" customWidth="1" outlineLevel="1"/>
    <col min="18" max="18" width="9.1796875" style="17" customWidth="1" collapsed="1"/>
    <col min="19" max="22" width="9.1796875" style="16" hidden="1" customWidth="1" outlineLevel="1"/>
    <col min="23" max="23" width="9.1796875" style="17" collapsed="1"/>
    <col min="24" max="27" width="9.1796875" style="16" hidden="1" customWidth="1" outlineLevel="1"/>
    <col min="28" max="28" width="9.1796875" style="17" collapsed="1"/>
    <col min="29" max="30" width="9.1796875" style="16" customWidth="1" outlineLevel="1"/>
  </cols>
  <sheetData>
    <row r="1" spans="1:30" ht="18.75" customHeight="1" x14ac:dyDescent="0.45">
      <c r="A1" s="13" t="s">
        <v>8</v>
      </c>
      <c r="B1" s="14" t="s">
        <v>9</v>
      </c>
      <c r="C1" s="15"/>
    </row>
    <row r="2" spans="1:30" ht="15.5" x14ac:dyDescent="0.35">
      <c r="A2" s="18" t="s">
        <v>10</v>
      </c>
      <c r="B2" s="18"/>
      <c r="C2" s="19"/>
    </row>
    <row r="3" spans="1:30" ht="15.5" x14ac:dyDescent="0.35">
      <c r="A3" s="18"/>
      <c r="B3" s="18"/>
      <c r="C3" s="19"/>
    </row>
    <row r="4" spans="1:30" ht="15" customHeight="1" x14ac:dyDescent="0.35">
      <c r="A4" s="20" t="s">
        <v>11</v>
      </c>
      <c r="B4" s="20"/>
      <c r="C4" s="21" t="s">
        <v>12</v>
      </c>
      <c r="D4" s="22">
        <v>42916</v>
      </c>
      <c r="E4" s="22">
        <v>43008</v>
      </c>
      <c r="F4" s="22">
        <v>43100</v>
      </c>
      <c r="G4" s="22">
        <v>43190</v>
      </c>
      <c r="H4" s="23" t="s">
        <v>13</v>
      </c>
      <c r="I4" s="22">
        <v>43281</v>
      </c>
      <c r="J4" s="22">
        <v>43373</v>
      </c>
      <c r="K4" s="22">
        <v>43465</v>
      </c>
      <c r="L4" s="22">
        <v>43555</v>
      </c>
      <c r="M4" s="23" t="s">
        <v>14</v>
      </c>
      <c r="N4" s="22">
        <v>43646</v>
      </c>
      <c r="O4" s="22">
        <v>43738</v>
      </c>
      <c r="P4" s="22">
        <v>43830</v>
      </c>
      <c r="Q4" s="22">
        <v>43921</v>
      </c>
      <c r="R4" s="23" t="s">
        <v>15</v>
      </c>
      <c r="S4" s="22">
        <v>44012</v>
      </c>
      <c r="T4" s="22">
        <v>44104</v>
      </c>
      <c r="U4" s="22">
        <v>44196</v>
      </c>
      <c r="V4" s="22">
        <v>44286</v>
      </c>
      <c r="W4" s="23" t="s">
        <v>16</v>
      </c>
      <c r="X4" s="22">
        <v>44377</v>
      </c>
      <c r="Y4" s="22">
        <v>44469</v>
      </c>
      <c r="Z4" s="22">
        <v>44560</v>
      </c>
      <c r="AA4" s="22">
        <v>44651</v>
      </c>
      <c r="AB4" s="23" t="s">
        <v>17</v>
      </c>
      <c r="AC4" s="22">
        <v>44742</v>
      </c>
      <c r="AD4" s="22">
        <v>44834</v>
      </c>
    </row>
    <row r="5" spans="1:30" ht="15" customHeight="1" x14ac:dyDescent="0.35">
      <c r="A5" s="24" t="s">
        <v>18</v>
      </c>
      <c r="B5" s="20"/>
      <c r="C5" s="25"/>
      <c r="D5" s="26"/>
      <c r="E5" s="26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  <c r="Q5" s="26"/>
      <c r="R5" s="27"/>
      <c r="S5" s="26"/>
      <c r="T5" s="26"/>
      <c r="U5" s="26"/>
      <c r="V5" s="26"/>
      <c r="W5" s="27"/>
      <c r="X5" s="26"/>
      <c r="Y5" s="26"/>
      <c r="Z5" s="26"/>
      <c r="AA5" s="26"/>
      <c r="AB5" s="27"/>
      <c r="AC5" s="26"/>
      <c r="AD5" s="26"/>
    </row>
    <row r="6" spans="1:30" s="28" customFormat="1" ht="15" customHeight="1" x14ac:dyDescent="0.35">
      <c r="A6" s="16" t="s">
        <v>19</v>
      </c>
      <c r="C6" s="29" t="s">
        <v>20</v>
      </c>
      <c r="D6" s="30">
        <v>8.14</v>
      </c>
      <c r="E6" s="30">
        <v>8.64</v>
      </c>
      <c r="F6" s="30">
        <v>9.1</v>
      </c>
      <c r="G6" s="30">
        <v>9.73</v>
      </c>
      <c r="H6" s="31">
        <v>9.73</v>
      </c>
      <c r="I6" s="30">
        <v>9.74</v>
      </c>
      <c r="J6" s="30">
        <v>11</v>
      </c>
      <c r="K6" s="32">
        <v>11.7</v>
      </c>
      <c r="L6" s="32">
        <v>11.43</v>
      </c>
      <c r="M6" s="31">
        <v>11.43</v>
      </c>
      <c r="N6" s="32">
        <v>11.64</v>
      </c>
      <c r="O6" s="32">
        <v>12.01</v>
      </c>
      <c r="P6" s="32">
        <v>13.49</v>
      </c>
      <c r="Q6" s="32">
        <v>16.7</v>
      </c>
      <c r="R6" s="17">
        <v>16.7</v>
      </c>
      <c r="S6" s="30">
        <v>15.6</v>
      </c>
      <c r="T6" s="32">
        <v>16.100000000000001</v>
      </c>
      <c r="U6" s="32">
        <v>17.3</v>
      </c>
      <c r="V6" s="32">
        <v>17.3</v>
      </c>
      <c r="W6" s="31">
        <v>17.3</v>
      </c>
      <c r="X6" s="30">
        <v>16.899999999999999</v>
      </c>
      <c r="Y6" s="30">
        <v>17.3</v>
      </c>
      <c r="Z6" s="30">
        <v>18.600000000000001</v>
      </c>
      <c r="AA6" s="30">
        <v>19.34</v>
      </c>
      <c r="AB6" s="31">
        <v>19.34</v>
      </c>
      <c r="AC6" s="30">
        <v>18.399999999999999</v>
      </c>
      <c r="AD6" s="30">
        <v>19.689</v>
      </c>
    </row>
    <row r="7" spans="1:30" s="28" customFormat="1" ht="15" customHeight="1" x14ac:dyDescent="0.35">
      <c r="C7" s="29"/>
      <c r="D7" s="30"/>
      <c r="E7" s="30"/>
      <c r="F7" s="30"/>
      <c r="G7" s="30"/>
      <c r="H7" s="31"/>
      <c r="I7" s="30"/>
      <c r="J7" s="30"/>
      <c r="K7" s="32"/>
      <c r="L7" s="32"/>
      <c r="M7" s="31"/>
      <c r="N7" s="32"/>
      <c r="O7" s="32"/>
      <c r="P7" s="32"/>
      <c r="Q7" s="32"/>
      <c r="R7" s="17"/>
      <c r="S7" s="30"/>
      <c r="T7" s="32"/>
      <c r="U7" s="32"/>
      <c r="V7" s="32"/>
      <c r="W7" s="17"/>
      <c r="X7" s="30"/>
      <c r="Y7" s="30"/>
      <c r="Z7" s="30"/>
      <c r="AA7" s="30"/>
      <c r="AB7" s="17"/>
      <c r="AC7" s="30"/>
      <c r="AD7" s="30"/>
    </row>
    <row r="8" spans="1:30" s="34" customFormat="1" ht="15" customHeight="1" x14ac:dyDescent="0.35">
      <c r="A8" s="33" t="s">
        <v>21</v>
      </c>
      <c r="B8" s="28"/>
      <c r="C8" s="29" t="s">
        <v>22</v>
      </c>
      <c r="D8" s="30">
        <v>10.778263884140699</v>
      </c>
      <c r="E8" s="30">
        <v>10.467409809547735</v>
      </c>
      <c r="F8" s="30">
        <v>9.1739225182522333</v>
      </c>
      <c r="G8" s="30">
        <v>8.9436938488807503</v>
      </c>
      <c r="H8" s="31">
        <v>39.363290060821427</v>
      </c>
      <c r="I8" s="30">
        <v>8.7115698264645633</v>
      </c>
      <c r="J8" s="30">
        <v>7.70318556514537</v>
      </c>
      <c r="K8" s="30">
        <v>6.981642459674231</v>
      </c>
      <c r="L8" s="30">
        <v>6.6445046529394327</v>
      </c>
      <c r="M8" s="31">
        <v>30.040902504223595</v>
      </c>
      <c r="N8" s="30">
        <v>6.3580865020792343</v>
      </c>
      <c r="O8" s="30">
        <v>5.9717979405776989</v>
      </c>
      <c r="P8" s="30">
        <v>5.4939601060932688</v>
      </c>
      <c r="Q8" s="30">
        <v>5.3881109949541024</v>
      </c>
      <c r="R8" s="31">
        <v>23.211955543704306</v>
      </c>
      <c r="S8" s="30">
        <f>SUM(S9:S10)</f>
        <v>5.1585292403084662</v>
      </c>
      <c r="T8" s="30">
        <f>SUM(T9:T10)</f>
        <v>4.885124645285698</v>
      </c>
      <c r="U8" s="30">
        <f>SUM(U9:U10)</f>
        <v>4.6393631663112398</v>
      </c>
      <c r="V8" s="30">
        <f>SUM(V9:V10)</f>
        <v>3.9675782416033343</v>
      </c>
      <c r="W8" s="31">
        <f>SUM(S8:V8)</f>
        <v>18.650595293508736</v>
      </c>
      <c r="X8" s="30">
        <f>SUM(X9:X10)</f>
        <v>4.1875049436534528</v>
      </c>
      <c r="Y8" s="30">
        <f>SUM(Y9:Y10)</f>
        <v>3.8675288079666648</v>
      </c>
      <c r="Z8" s="30">
        <f>SUM(Z9:Z10)</f>
        <v>3.6041856470800009</v>
      </c>
      <c r="AA8" s="30">
        <f t="shared" ref="AA8" si="0">SUM(AA9:AA10)</f>
        <v>3.187710776436667</v>
      </c>
      <c r="AB8" s="31">
        <f>SUM(X8:AA8)</f>
        <v>14.846930175136785</v>
      </c>
      <c r="AC8" s="30">
        <f>SUM(AC9:AC10)</f>
        <v>3.3189171354833333</v>
      </c>
      <c r="AD8" s="30">
        <f>SUM(AD9:AD10)</f>
        <v>2.9083563639532999</v>
      </c>
    </row>
    <row r="9" spans="1:30" s="37" customFormat="1" ht="15" customHeight="1" x14ac:dyDescent="0.35">
      <c r="A9" s="35" t="s">
        <v>23</v>
      </c>
      <c r="B9" s="36"/>
      <c r="C9" s="29" t="s">
        <v>22</v>
      </c>
      <c r="D9" s="30">
        <v>9.8630976894406999</v>
      </c>
      <c r="E9" s="30">
        <v>9.674138169047735</v>
      </c>
      <c r="F9" s="30">
        <v>8.1700563579222329</v>
      </c>
      <c r="G9" s="30">
        <v>7.7076965275445755</v>
      </c>
      <c r="H9" s="31">
        <v>35.414988743955249</v>
      </c>
      <c r="I9" s="30">
        <v>7.9440007824845633</v>
      </c>
      <c r="J9" s="30">
        <v>6.8976838826053699</v>
      </c>
      <c r="K9" s="30">
        <v>6.3632365617542312</v>
      </c>
      <c r="L9" s="30">
        <v>6.2681067456394324</v>
      </c>
      <c r="M9" s="31">
        <v>27.473027972483596</v>
      </c>
      <c r="N9" s="30">
        <v>6.0972144380092343</v>
      </c>
      <c r="O9" s="30">
        <v>5.8318922180476989</v>
      </c>
      <c r="P9" s="30">
        <v>5.381709941503269</v>
      </c>
      <c r="Q9" s="30">
        <v>5.253791459524102</v>
      </c>
      <c r="R9" s="31">
        <v>22.564608057084307</v>
      </c>
      <c r="S9" s="30">
        <v>5.0620809174484664</v>
      </c>
      <c r="T9" s="30">
        <v>4.796629269255698</v>
      </c>
      <c r="U9" s="30">
        <v>4.5045561988112395</v>
      </c>
      <c r="V9" s="30">
        <v>3.8289703655633343</v>
      </c>
      <c r="W9" s="31">
        <f t="shared" ref="W9:W10" si="1">SUM(S9:V9)</f>
        <v>18.192236751078738</v>
      </c>
      <c r="X9" s="30">
        <v>4.0671106870434528</v>
      </c>
      <c r="Y9" s="30">
        <v>3.7495597430266647</v>
      </c>
      <c r="Z9" s="30">
        <v>3.4873613426500008</v>
      </c>
      <c r="AA9" s="30">
        <v>3.0766280703966671</v>
      </c>
      <c r="AB9" s="31">
        <f t="shared" ref="AB9:AB10" si="2">SUM(X9:AA9)</f>
        <v>14.380659843116787</v>
      </c>
      <c r="AC9" s="30">
        <v>3.2281065520433332</v>
      </c>
      <c r="AD9" s="30">
        <v>2.7946727158233</v>
      </c>
    </row>
    <row r="10" spans="1:30" s="37" customFormat="1" ht="15" customHeight="1" x14ac:dyDescent="0.35">
      <c r="A10" s="38" t="s">
        <v>24</v>
      </c>
      <c r="B10" s="39"/>
      <c r="C10" s="29" t="s">
        <v>22</v>
      </c>
      <c r="D10" s="30">
        <v>0.91516619469999982</v>
      </c>
      <c r="E10" s="30">
        <v>0.79327164049999987</v>
      </c>
      <c r="F10" s="30">
        <v>1.0038661603299999</v>
      </c>
      <c r="G10" s="30">
        <v>1.2359973213361752</v>
      </c>
      <c r="H10" s="31">
        <v>3.9483013168661749</v>
      </c>
      <c r="I10" s="30">
        <v>0.76756904398000003</v>
      </c>
      <c r="J10" s="30">
        <v>0.80550168253999999</v>
      </c>
      <c r="K10" s="30">
        <v>0.61840589792</v>
      </c>
      <c r="L10" s="30">
        <v>0.3763979073</v>
      </c>
      <c r="M10" s="31">
        <v>2.5678745317399998</v>
      </c>
      <c r="N10" s="30">
        <v>0.26087206407000008</v>
      </c>
      <c r="O10" s="30">
        <v>0.13990572252999994</v>
      </c>
      <c r="P10" s="30">
        <v>0.11225016459000009</v>
      </c>
      <c r="Q10" s="30">
        <v>0.13431953542999997</v>
      </c>
      <c r="R10" s="31">
        <v>0.64734748662000008</v>
      </c>
      <c r="S10" s="30">
        <v>9.6448322859999991E-2</v>
      </c>
      <c r="T10" s="30">
        <v>8.8495376029999989E-2</v>
      </c>
      <c r="U10" s="30">
        <v>0.13480696750000001</v>
      </c>
      <c r="V10" s="30">
        <v>0.13860787603999999</v>
      </c>
      <c r="W10" s="31">
        <f t="shared" si="1"/>
        <v>0.45835854242999996</v>
      </c>
      <c r="X10" s="30">
        <v>0.12039425661000001</v>
      </c>
      <c r="Y10" s="30">
        <v>0.11796906493999998</v>
      </c>
      <c r="Z10" s="30">
        <v>0.11682430443</v>
      </c>
      <c r="AA10" s="30">
        <v>0.11108270604000001</v>
      </c>
      <c r="AB10" s="31">
        <f t="shared" si="2"/>
        <v>0.46627033202000001</v>
      </c>
      <c r="AC10" s="30">
        <v>9.0810583440000009E-2</v>
      </c>
      <c r="AD10" s="30">
        <v>0.11368364813000002</v>
      </c>
    </row>
    <row r="11" spans="1:30" s="37" customFormat="1" ht="15" customHeight="1" x14ac:dyDescent="0.35">
      <c r="A11" s="38"/>
      <c r="B11" s="39"/>
      <c r="C11" s="29"/>
      <c r="D11" s="30"/>
      <c r="E11" s="30"/>
      <c r="F11" s="30"/>
      <c r="G11" s="30"/>
      <c r="H11" s="31"/>
      <c r="I11" s="30"/>
      <c r="J11" s="30"/>
      <c r="K11" s="30"/>
      <c r="L11" s="30"/>
      <c r="M11" s="31"/>
      <c r="N11" s="30"/>
      <c r="O11" s="30"/>
      <c r="P11" s="30"/>
      <c r="Q11" s="30"/>
      <c r="R11" s="31"/>
      <c r="S11" s="30"/>
      <c r="T11" s="30"/>
      <c r="U11" s="30"/>
      <c r="V11" s="30"/>
      <c r="W11" s="31"/>
      <c r="X11" s="30"/>
      <c r="Y11" s="30"/>
      <c r="Z11" s="30"/>
      <c r="AA11" s="30"/>
      <c r="AB11" s="31"/>
      <c r="AC11" s="30"/>
      <c r="AD11" s="30"/>
    </row>
    <row r="12" spans="1:30" s="28" customFormat="1" ht="15" customHeight="1" x14ac:dyDescent="0.35">
      <c r="A12" s="33" t="s">
        <v>25</v>
      </c>
      <c r="C12" s="29"/>
      <c r="D12" s="16"/>
      <c r="E12" s="16"/>
      <c r="F12" s="16"/>
      <c r="G12" s="16"/>
      <c r="H12" s="17"/>
      <c r="I12" s="16"/>
      <c r="J12" s="16"/>
      <c r="K12" s="16"/>
      <c r="L12" s="16"/>
      <c r="M12" s="17"/>
      <c r="N12" s="16"/>
      <c r="O12" s="16"/>
      <c r="P12" s="16"/>
      <c r="Q12" s="16"/>
      <c r="R12" s="17"/>
      <c r="S12" s="16"/>
      <c r="T12" s="16"/>
      <c r="U12" s="16"/>
      <c r="V12" s="16"/>
      <c r="W12" s="17"/>
      <c r="X12" s="16"/>
      <c r="Y12" s="16"/>
      <c r="Z12" s="16"/>
      <c r="AA12" s="16"/>
      <c r="AB12" s="17"/>
      <c r="AC12" s="16"/>
      <c r="AD12" s="16"/>
    </row>
    <row r="13" spans="1:30" s="28" customFormat="1" ht="15" customHeight="1" x14ac:dyDescent="0.35">
      <c r="A13" s="40" t="s">
        <v>26</v>
      </c>
      <c r="B13" s="41"/>
      <c r="C13" s="42" t="s">
        <v>27</v>
      </c>
      <c r="D13" s="43">
        <f>'Data and Voice'!D$15/'Consolidated PL'!D$6</f>
        <v>0.35336999681831877</v>
      </c>
      <c r="E13" s="43">
        <f>'Data and Voice'!E$15/'Consolidated PL'!E$6</f>
        <v>0.33772383303245834</v>
      </c>
      <c r="F13" s="43">
        <f>'Data and Voice'!F$15/'Consolidated PL'!F$6</f>
        <v>0.29682003837789966</v>
      </c>
      <c r="G13" s="43">
        <f>'Data and Voice'!G$15/'Consolidated PL'!G$6</f>
        <v>0.27554339813738171</v>
      </c>
      <c r="H13" s="44">
        <f>'Data and Voice'!H$15/'Consolidated PL'!H$6</f>
        <v>0.31668494996406515</v>
      </c>
      <c r="I13" s="43">
        <f>'Data and Voice'!I$15/'Consolidated PL'!I$6</f>
        <v>0.26035864442406609</v>
      </c>
      <c r="J13" s="43">
        <f>'Data and Voice'!J$15/'Consolidated PL'!J$6</f>
        <v>0.24559477039346417</v>
      </c>
      <c r="K13" s="43">
        <f>'Data and Voice'!K$15/'Consolidated PL'!K$6</f>
        <v>0.22100184873855652</v>
      </c>
      <c r="L13" s="43">
        <f>'Data and Voice'!L$15/'Consolidated PL'!L$6</f>
        <v>0.2122852296109034</v>
      </c>
      <c r="M13" s="44">
        <f>'Data and Voice'!M$15/'Consolidated PL'!M$6</f>
        <v>0.23421062174155041</v>
      </c>
      <c r="N13" s="43">
        <f>'Data and Voice'!N$15/'Consolidated PL'!N$6</f>
        <v>0.21355966189199904</v>
      </c>
      <c r="O13" s="43">
        <f>'Data and Voice'!O$15/'Consolidated PL'!O$6</f>
        <v>0.2045858640140702</v>
      </c>
      <c r="P13" s="43">
        <f>'Data and Voice'!P$15/'Consolidated PL'!P$6</f>
        <v>0.19128069271919912</v>
      </c>
      <c r="Q13" s="43">
        <f>'Data and Voice'!Q$15/'Consolidated PL'!Q$6</f>
        <v>0.182577322882054</v>
      </c>
      <c r="R13" s="44">
        <f>'Data and Voice'!R$15/'Consolidated PL'!R$6</f>
        <v>0.19781022135954299</v>
      </c>
      <c r="S13" s="43">
        <f>'Data and Voice'!S$15/'Consolidated PL'!S$6</f>
        <v>0.18154273868465959</v>
      </c>
      <c r="T13" s="43">
        <f>'Data and Voice'!T$15/'Consolidated PL'!T$6</f>
        <v>0.17243866753714768</v>
      </c>
      <c r="U13" s="43">
        <f>'Data and Voice'!U$15/'Consolidated PL'!U$6</f>
        <v>0.15967036206902527</v>
      </c>
      <c r="V13" s="43">
        <f>'Data and Voice'!V$15/'Consolidated PL'!V$6</f>
        <v>0.13705856263909552</v>
      </c>
      <c r="W13" s="44">
        <f>'Data and Voice'!W$15/'Consolidated PL'!W$6</f>
        <v>0.16320212611570345</v>
      </c>
      <c r="X13" s="43">
        <f>'Data and Voice'!X$15/'Consolidated PL'!X$6</f>
        <v>0.14360381307853276</v>
      </c>
      <c r="Y13" s="43">
        <f>'Data and Voice'!Y$15/'Consolidated PL'!Y$6</f>
        <v>0.14519373329070379</v>
      </c>
      <c r="Z13" s="43">
        <f>'Data and Voice'!Z$15/'Consolidated PL'!Z$6</f>
        <v>0.13243138440957103</v>
      </c>
      <c r="AA13" s="43">
        <f>'Data and Voice'!AA$15/'Consolidated PL'!AA$6</f>
        <v>0.1259500986043102</v>
      </c>
      <c r="AB13" s="44">
        <f>'Data and Voice'!AB$15/'Consolidated PL'!AB$6</f>
        <v>0.13670520386979085</v>
      </c>
      <c r="AC13" s="43">
        <f>'Data and Voice'!AC$15/'Consolidated PL'!AC$6</f>
        <v>0.1302390791826272</v>
      </c>
      <c r="AD13" s="43">
        <f>'Data and Voice'!AD$15/'Consolidated PL'!AD$6</f>
        <v>0.11837458010831246</v>
      </c>
    </row>
    <row r="14" spans="1:30" s="28" customFormat="1" ht="15" customHeight="1" x14ac:dyDescent="0.35">
      <c r="A14" s="40" t="s">
        <v>28</v>
      </c>
      <c r="B14" s="41"/>
      <c r="C14" s="42" t="s">
        <v>27</v>
      </c>
      <c r="D14" s="43">
        <f>'Data and Voice'!D$6/'Consolidated PL'!D$6</f>
        <v>0.5626134377159181</v>
      </c>
      <c r="E14" s="43">
        <f>'Data and Voice'!E$6/'Consolidated PL'!E$6</f>
        <v>0.57975782528609099</v>
      </c>
      <c r="F14" s="43">
        <f>'Data and Voice'!F$6/'Consolidated PL'!F$6</f>
        <v>0.61197355208104409</v>
      </c>
      <c r="G14" s="43">
        <f>'Data and Voice'!G$6/'Consolidated PL'!G$6</f>
        <v>0.62726977053783617</v>
      </c>
      <c r="H14" s="44">
        <f>'Data and Voice'!H$6/'Consolidated PL'!H$6</f>
        <v>0.59472853313629781</v>
      </c>
      <c r="I14" s="43">
        <f>'Data and Voice'!I$6/'Consolidated PL'!I$6</f>
        <v>0.64552092801374317</v>
      </c>
      <c r="J14" s="43">
        <f>'Data and Voice'!J$6/'Consolidated PL'!J$6</f>
        <v>0.66314685166565546</v>
      </c>
      <c r="K14" s="43">
        <f>'Data and Voice'!K$6/'Consolidated PL'!K$6</f>
        <v>0.68022992146732941</v>
      </c>
      <c r="L14" s="43">
        <f>'Data and Voice'!L$6/'Consolidated PL'!L$6</f>
        <v>0.68547353513924092</v>
      </c>
      <c r="M14" s="44">
        <f>'Data and Voice'!M$6/'Consolidated PL'!M$6</f>
        <v>0.66908735504829309</v>
      </c>
      <c r="N14" s="43">
        <f>'Data and Voice'!N$6/'Consolidated PL'!N$6</f>
        <v>0.68488630632561176</v>
      </c>
      <c r="O14" s="43">
        <f>'Data and Voice'!O$6/'Consolidated PL'!O$6</f>
        <v>0.69149960186941617</v>
      </c>
      <c r="P14" s="43">
        <f>'Data and Voice'!P$6/'Consolidated PL'!P$6</f>
        <v>0.70237933345807479</v>
      </c>
      <c r="Q14" s="43">
        <f>'Data and Voice'!Q$6/'Consolidated PL'!Q$6</f>
        <v>0.70383373873326094</v>
      </c>
      <c r="R14" s="44">
        <f>'Data and Voice'!R$6/'Consolidated PL'!R$6</f>
        <v>0.69575805252740286</v>
      </c>
      <c r="S14" s="43">
        <f>'Data and Voice'!S$6/'Consolidated PL'!S$6</f>
        <v>0.72123794679730535</v>
      </c>
      <c r="T14" s="43">
        <f>'Data and Voice'!T$6/'Consolidated PL'!T$6</f>
        <v>0.72935019327181094</v>
      </c>
      <c r="U14" s="43">
        <f>'Data and Voice'!U$6/'Consolidated PL'!U$6</f>
        <v>0.74032831087307782</v>
      </c>
      <c r="V14" s="43">
        <f>'Data and Voice'!V$6/'Consolidated PL'!V$6</f>
        <v>0.75799438598200164</v>
      </c>
      <c r="W14" s="44">
        <f>'Data and Voice'!W$6/'Consolidated PL'!W$6</f>
        <v>0.73679553029731604</v>
      </c>
      <c r="X14" s="43">
        <f>'Data and Voice'!X$6/'Consolidated PL'!X$6</f>
        <v>0.7566770438201097</v>
      </c>
      <c r="Y14" s="43">
        <f>'Data and Voice'!Y$6/'Consolidated PL'!Y$6</f>
        <v>0.75225037890719626</v>
      </c>
      <c r="Z14" s="43">
        <f>'Data and Voice'!Z$6/'Consolidated PL'!Z$6</f>
        <v>0.77254734240133049</v>
      </c>
      <c r="AA14" s="43">
        <f>'Data and Voice'!AA$6/'Consolidated PL'!AA$6</f>
        <v>0.77442916347090907</v>
      </c>
      <c r="AB14" s="44">
        <f>'Data and Voice'!AB$6/'Consolidated PL'!AB$6</f>
        <v>0.76406827160610968</v>
      </c>
      <c r="AC14" s="43">
        <f>'Data and Voice'!AC$6/'Consolidated PL'!AC$6</f>
        <v>0.77477898020472902</v>
      </c>
      <c r="AD14" s="43">
        <f>'Data and Voice'!AD$6/'Consolidated PL'!AD$6</f>
        <v>0.78826913130630794</v>
      </c>
    </row>
    <row r="15" spans="1:30" s="48" customFormat="1" ht="15" customHeight="1" x14ac:dyDescent="0.35">
      <c r="A15" s="45" t="s">
        <v>29</v>
      </c>
      <c r="B15" s="41"/>
      <c r="C15" s="42" t="s">
        <v>27</v>
      </c>
      <c r="D15" s="46">
        <f>'Data Portfolio'!D$6/'Data and Voice'!D$6</f>
        <v>0.80573262738498741</v>
      </c>
      <c r="E15" s="46">
        <f>'Data Portfolio'!E$6/'Data and Voice'!E$6</f>
        <v>0.77583354467283117</v>
      </c>
      <c r="F15" s="46">
        <f>'Data Portfolio'!F$6/'Data and Voice'!F$6</f>
        <v>0.77103882601724805</v>
      </c>
      <c r="G15" s="46">
        <f>'Data Portfolio'!G$6/'Data and Voice'!G$6</f>
        <v>0.75308526125182729</v>
      </c>
      <c r="H15" s="47">
        <f>'Data Portfolio'!H$6/'Data and Voice'!H$6</f>
        <v>0.77615274695966718</v>
      </c>
      <c r="I15" s="46">
        <f>'Data Portfolio'!I$6/'Data and Voice'!I$6</f>
        <v>0.76555722363901157</v>
      </c>
      <c r="J15" s="46">
        <f>'Data Portfolio'!J$6/'Data and Voice'!J$6</f>
        <v>0.74690741619784218</v>
      </c>
      <c r="K15" s="46">
        <f>'Data Portfolio'!K$6/'Data and Voice'!K$6</f>
        <v>0.74302278640159192</v>
      </c>
      <c r="L15" s="46">
        <f>'Data Portfolio'!L$6/'Data and Voice'!L$6</f>
        <v>0.71729355491466629</v>
      </c>
      <c r="M15" s="47">
        <f>'Data Portfolio'!M$6/'Data and Voice'!M$6</f>
        <v>0.74239027309200245</v>
      </c>
      <c r="N15" s="46">
        <f>'Data Portfolio'!N$6/'Data and Voice'!N$6</f>
        <v>0.72434648859745077</v>
      </c>
      <c r="O15" s="46">
        <f>'Data Portfolio'!O$6/'Data and Voice'!O$6</f>
        <v>0.73134878131562664</v>
      </c>
      <c r="P15" s="46">
        <f>'Data Portfolio'!P$6/'Data and Voice'!P$6</f>
        <v>0.72704957686685745</v>
      </c>
      <c r="Q15" s="46">
        <f>'Data Portfolio'!Q$6/'Data and Voice'!Q$6</f>
        <v>0.70951466575677735</v>
      </c>
      <c r="R15" s="47">
        <f>'Data Portfolio'!R$6/'Data and Voice'!R$6</f>
        <v>0.72289872263387611</v>
      </c>
      <c r="S15" s="46">
        <v>0.69071548929116855</v>
      </c>
      <c r="T15" s="46">
        <v>0.69557846566635961</v>
      </c>
      <c r="U15" s="46">
        <v>0.71945044498578659</v>
      </c>
      <c r="V15" s="46">
        <v>0.72418413212171484</v>
      </c>
      <c r="W15" s="47">
        <v>0.70728612108824007</v>
      </c>
      <c r="X15" s="46">
        <v>0.7185532263734421</v>
      </c>
      <c r="Y15" s="46">
        <v>0.71363563757995152</v>
      </c>
      <c r="Z15" s="46">
        <v>0.70450170090210673</v>
      </c>
      <c r="AA15" s="46">
        <v>0.69318852309263679</v>
      </c>
      <c r="AB15" s="47">
        <v>0.70723692750130762</v>
      </c>
      <c r="AC15" s="46">
        <v>0.69189235904757518</v>
      </c>
      <c r="AD15" s="46">
        <v>0.67969999683546856</v>
      </c>
    </row>
    <row r="16" spans="1:30" s="48" customFormat="1" ht="15" customHeight="1" x14ac:dyDescent="0.35">
      <c r="A16" s="45" t="s">
        <v>30</v>
      </c>
      <c r="C16" s="42" t="s">
        <v>27</v>
      </c>
      <c r="D16" s="46">
        <f>'Data Portfolio'!D$16/'Data and Voice'!D$6</f>
        <v>0.19415395382570882</v>
      </c>
      <c r="E16" s="46">
        <f>'Data Portfolio'!E$16/'Data and Voice'!E$6</f>
        <v>0.22397950608217085</v>
      </c>
      <c r="F16" s="46">
        <f>'Data Portfolio'!F$16/'Data and Voice'!F$6</f>
        <v>0.22867882132999101</v>
      </c>
      <c r="G16" s="46">
        <f>'Data Portfolio'!G$16/'Data and Voice'!G$6</f>
        <v>0.24640341152003059</v>
      </c>
      <c r="H16" s="47">
        <f>'Data Portfolio'!H$16/'Data and Voice'!H$6</f>
        <v>0.22357162624479379</v>
      </c>
      <c r="I16" s="46">
        <f>'Data Portfolio'!I$16/'Data and Voice'!I$6</f>
        <v>0.23348889659913985</v>
      </c>
      <c r="J16" s="46">
        <f>'Data Portfolio'!J$16/'Data and Voice'!J$6</f>
        <v>0.25153455592268642</v>
      </c>
      <c r="K16" s="46">
        <f>'Data Portfolio'!K$16/'Data and Voice'!K$6</f>
        <v>0.2512636321049776</v>
      </c>
      <c r="L16" s="46">
        <f>'Data Portfolio'!L$16/'Data and Voice'!L$6</f>
        <v>0.26809234601566367</v>
      </c>
      <c r="M16" s="47">
        <f>'Data Portfolio'!M$16/'Data and Voice'!M$6</f>
        <v>0.25166445829806894</v>
      </c>
      <c r="N16" s="46">
        <f>'Data Portfolio'!N$16/'Data and Voice'!N$6</f>
        <v>0.26898337415435897</v>
      </c>
      <c r="O16" s="46">
        <f>'Data Portfolio'!O$16/'Data and Voice'!O$6</f>
        <v>0.2611228675131298</v>
      </c>
      <c r="P16" s="46">
        <f>'Data Portfolio'!P$16/'Data and Voice'!P$6</f>
        <v>0.26423040317093827</v>
      </c>
      <c r="Q16" s="46">
        <f>'Data Portfolio'!Q$16/'Data and Voice'!Q$6</f>
        <v>0.2765880065992235</v>
      </c>
      <c r="R16" s="47">
        <f>'Data Portfolio'!R$16/'Data and Voice'!R$6</f>
        <v>0.26782106905156144</v>
      </c>
      <c r="S16" s="46">
        <v>0.30204037150188029</v>
      </c>
      <c r="T16" s="46">
        <v>0.29316837387014388</v>
      </c>
      <c r="U16" s="46">
        <v>0.27017111991738735</v>
      </c>
      <c r="V16" s="46">
        <v>0.26397025198307117</v>
      </c>
      <c r="W16" s="47">
        <v>0.28254302970571921</v>
      </c>
      <c r="X16" s="46">
        <v>0.26956355805035342</v>
      </c>
      <c r="Y16" s="46">
        <v>0.27270987258798302</v>
      </c>
      <c r="Z16" s="46">
        <v>0.27873611468183535</v>
      </c>
      <c r="AA16" s="46">
        <v>0.28233787847187958</v>
      </c>
      <c r="AB16" s="47">
        <v>0.27595753344738055</v>
      </c>
      <c r="AC16" s="46">
        <v>0.2815216636085614</v>
      </c>
      <c r="AD16" s="46">
        <v>0.28570681431138312</v>
      </c>
    </row>
    <row r="17" spans="1:30" s="48" customFormat="1" ht="15" customHeight="1" x14ac:dyDescent="0.35">
      <c r="A17" s="45" t="s">
        <v>31</v>
      </c>
      <c r="C17" s="42" t="s">
        <v>27</v>
      </c>
      <c r="D17" s="46">
        <f>'Data Portfolio'!D$27/'Data and Voice'!D$6</f>
        <v>1.1341878930428157E-4</v>
      </c>
      <c r="E17" s="46">
        <f>'Data Portfolio'!E$27/'Data and Voice'!E$6</f>
        <v>1.8694924499635941E-4</v>
      </c>
      <c r="F17" s="46">
        <f>'Data Portfolio'!F$27/'Data and Voice'!F$6</f>
        <v>2.8235265276269457E-4</v>
      </c>
      <c r="G17" s="46">
        <f>'Data Portfolio'!G$27/'Data and Voice'!G$6</f>
        <v>5.1132722813861684E-4</v>
      </c>
      <c r="H17" s="49">
        <f>'Data Portfolio'!H$27/'Data and Voice'!H$6</f>
        <v>2.7562679553844719E-4</v>
      </c>
      <c r="I17" s="46">
        <f>'Data Portfolio'!I$27/'Data and Voice'!I$6</f>
        <v>9.5387976184929365E-4</v>
      </c>
      <c r="J17" s="46">
        <f>'Data Portfolio'!J$27/'Data and Voice'!J$6</f>
        <v>1.5580278794719705E-3</v>
      </c>
      <c r="K17" s="46">
        <f>'Data Portfolio'!K$27/'Data and Voice'!K$6</f>
        <v>5.7135814934300838E-3</v>
      </c>
      <c r="L17" s="46">
        <f>'Data Portfolio'!L$27/'Data and Voice'!L$6</f>
        <v>1.4614099069672424E-2</v>
      </c>
      <c r="M17" s="47">
        <f>'Data Portfolio'!M$27/'Data and Voice'!M$6</f>
        <v>5.9452686099296381E-3</v>
      </c>
      <c r="N17" s="46">
        <f>'Data Portfolio'!N$27/'Data and Voice'!N$6</f>
        <v>6.670137248190584E-3</v>
      </c>
      <c r="O17" s="46">
        <f>'Data Portfolio'!O$27/'Data and Voice'!O$6</f>
        <v>7.528351171244038E-3</v>
      </c>
      <c r="P17" s="46">
        <f>'Data Portfolio'!P$27/'Data and Voice'!P$6</f>
        <v>8.7200199622057169E-3</v>
      </c>
      <c r="Q17" s="46">
        <f>'Data Portfolio'!Q$27/'Data and Voice'!Q$6</f>
        <v>1.3897327643999823E-2</v>
      </c>
      <c r="R17" s="47">
        <f>'Data Portfolio'!R$27/'Data and Voice'!R$6</f>
        <v>9.2802083145632677E-3</v>
      </c>
      <c r="S17" s="46">
        <v>7.2441392069511317E-3</v>
      </c>
      <c r="T17" s="46">
        <v>1.1253160463496619E-2</v>
      </c>
      <c r="U17" s="46">
        <v>1.0378435096825999E-2</v>
      </c>
      <c r="V17" s="46">
        <v>1.1845615895213983E-2</v>
      </c>
      <c r="W17" s="47">
        <v>1.0170849206040718E-2</v>
      </c>
      <c r="X17" s="46">
        <v>1.1883215576204293E-2</v>
      </c>
      <c r="Y17" s="46">
        <v>1.3654489832065447E-2</v>
      </c>
      <c r="Z17" s="46">
        <v>1.6762184416057872E-2</v>
      </c>
      <c r="AA17" s="46">
        <v>2.4473598435483655E-2</v>
      </c>
      <c r="AB17" s="47">
        <v>1.6805539051311751E-2</v>
      </c>
      <c r="AC17" s="46">
        <v>2.6585977343863459E-2</v>
      </c>
      <c r="AD17" s="46">
        <v>3.4593188853148327E-2</v>
      </c>
    </row>
    <row r="18" spans="1:30" s="48" customFormat="1" ht="15" customHeight="1" x14ac:dyDescent="0.35">
      <c r="A18" s="33" t="s">
        <v>32</v>
      </c>
      <c r="C18" s="29" t="s">
        <v>27</v>
      </c>
      <c r="D18" s="43">
        <f>('Others (Rental and Subs)'!D$6+'Others (Rental and Subs)'!D$12+'Others (Rental and Subs)'!D$18)/'Consolidated PL'!D$6</f>
        <v>8.4016565465762805E-2</v>
      </c>
      <c r="E18" s="43">
        <f>('Others (Rental and Subs)'!E$6+'Others (Rental and Subs)'!E$12+'Others (Rental and Subs)'!E$18)/'Consolidated PL'!E$6</f>
        <v>8.2518341681451862E-2</v>
      </c>
      <c r="F18" s="43">
        <f>('Others (Rental and Subs)'!F$6+'Others (Rental and Subs)'!F$12+'Others (Rental and Subs)'!F$18)/'Consolidated PL'!F$6</f>
        <v>9.1206409541055203E-2</v>
      </c>
      <c r="G18" s="43">
        <f>('Others (Rental and Subs)'!G$6+'Others (Rental and Subs)'!G$12+'Others (Rental and Subs)'!G$18)/'Consolidated PL'!G$6</f>
        <v>9.7186831324782702E-2</v>
      </c>
      <c r="H18" s="44">
        <f>('Others (Rental and Subs)'!H$6+'Others (Rental and Subs)'!H$12+'Others (Rental and Subs)'!H$18)/'Consolidated PL'!H$6</f>
        <v>8.8586516899637133E-2</v>
      </c>
      <c r="I18" s="43">
        <f>('Others (Rental and Subs)'!I$6+'Others (Rental and Subs)'!I$12+'Others (Rental and Subs)'!I$18)/'Consolidated PL'!I$6</f>
        <v>9.412042756219019E-2</v>
      </c>
      <c r="J18" s="43">
        <f>('Others (Rental and Subs)'!J$6+'Others (Rental and Subs)'!J$12+'Others (Rental and Subs)'!J$18)/'Consolidated PL'!J$6</f>
        <v>9.1258377940880347E-2</v>
      </c>
      <c r="K18" s="43">
        <f>('Others (Rental and Subs)'!K$6+'Others (Rental and Subs)'!K$12+'Others (Rental and Subs)'!K$18)/'Consolidated PL'!K$6</f>
        <v>9.876822979411358E-2</v>
      </c>
      <c r="L18" s="43">
        <f>('Others (Rental and Subs)'!L$6+'Others (Rental and Subs)'!L$12+'Others (Rental and Subs)'!L$18)/'Consolidated PL'!L$6</f>
        <v>0.10224123524985526</v>
      </c>
      <c r="M18" s="44">
        <f>('Others (Rental and Subs)'!M$6+'Others (Rental and Subs)'!M$12+'Others (Rental and Subs)'!M$18)/'Consolidated PL'!M$6</f>
        <v>9.6702023210155974E-2</v>
      </c>
      <c r="N18" s="43">
        <f>('Others (Rental and Subs)'!N$6+'Others (Rental and Subs)'!N$12+'Others (Rental and Subs)'!N$18)/'Consolidated PL'!N$6</f>
        <v>0.10155403178238909</v>
      </c>
      <c r="O18" s="43">
        <f>('Others (Rental and Subs)'!O$6+'Others (Rental and Subs)'!O$12+'Others (Rental and Subs)'!O$18)/'Consolidated PL'!O$6</f>
        <v>0.10391453411651327</v>
      </c>
      <c r="P18" s="43">
        <f>('Others (Rental and Subs)'!P$6+'Others (Rental and Subs)'!P$12+'Others (Rental and Subs)'!P$18)/'Consolidated PL'!P$6</f>
        <v>0.10633997382272521</v>
      </c>
      <c r="Q18" s="43">
        <f>('Others (Rental and Subs)'!Q$6+'Others (Rental and Subs)'!Q$12+'Others (Rental and Subs)'!Q$18)/'Consolidated PL'!Q$6</f>
        <v>0.1135889383846839</v>
      </c>
      <c r="R18" s="44">
        <f>('Others (Rental and Subs)'!R$6+'Others (Rental and Subs)'!R$12+'Others (Rental and Subs)'!R$18)/'Consolidated PL'!R$6</f>
        <v>0.10643172611305352</v>
      </c>
      <c r="S18" s="43">
        <v>9.7219313500907872E-2</v>
      </c>
      <c r="T18" s="43">
        <v>9.8211140616300791E-2</v>
      </c>
      <c r="U18" s="43">
        <v>0.10000132638403519</v>
      </c>
      <c r="V18" s="43">
        <v>0.10494694138663409</v>
      </c>
      <c r="W18" s="44">
        <v>0.1000023185523822</v>
      </c>
      <c r="X18" s="43">
        <v>9.971814015597312E-2</v>
      </c>
      <c r="Y18" s="43">
        <v>0.10255588867407441</v>
      </c>
      <c r="Z18" s="43">
        <v>9.502225518356569E-2</v>
      </c>
      <c r="AA18" s="43">
        <v>9.9620738082849436E-2</v>
      </c>
      <c r="AB18" s="44">
        <v>9.9226524437853847E-2</v>
      </c>
      <c r="AC18" s="43">
        <v>9.4981940612643839E-2</v>
      </c>
      <c r="AD18" s="43">
        <v>9.3356288585379532E-2</v>
      </c>
    </row>
    <row r="19" spans="1:30" s="48" customFormat="1" ht="15" customHeight="1" x14ac:dyDescent="0.35">
      <c r="A19" s="28"/>
      <c r="C19" s="42"/>
      <c r="D19" s="46"/>
      <c r="E19" s="46"/>
      <c r="F19" s="46"/>
      <c r="G19" s="46"/>
      <c r="H19" s="47"/>
      <c r="I19" s="46"/>
      <c r="J19" s="46"/>
      <c r="K19" s="46"/>
      <c r="L19" s="46"/>
      <c r="M19" s="47"/>
      <c r="N19" s="46"/>
      <c r="O19" s="46"/>
      <c r="P19" s="46"/>
      <c r="Q19" s="46"/>
      <c r="R19" s="47"/>
      <c r="S19" s="46"/>
      <c r="T19" s="46"/>
      <c r="U19" s="46"/>
      <c r="V19" s="46"/>
      <c r="W19" s="47"/>
      <c r="X19" s="50"/>
      <c r="Y19" s="50"/>
      <c r="Z19" s="50"/>
      <c r="AA19" s="50"/>
      <c r="AB19" s="47"/>
      <c r="AC19" s="50"/>
      <c r="AD19" s="50"/>
    </row>
    <row r="20" spans="1:30" s="28" customFormat="1" ht="15" customHeight="1" x14ac:dyDescent="0.35">
      <c r="A20" s="33" t="s">
        <v>33</v>
      </c>
      <c r="C20" s="29"/>
      <c r="D20" s="16"/>
      <c r="E20" s="16"/>
      <c r="F20" s="16"/>
      <c r="G20" s="16"/>
      <c r="H20" s="17"/>
      <c r="I20" s="16"/>
      <c r="J20" s="16"/>
      <c r="K20" s="16"/>
      <c r="L20" s="16"/>
      <c r="M20" s="17"/>
      <c r="N20" s="16"/>
      <c r="O20" s="16"/>
      <c r="P20" s="16"/>
      <c r="Q20" s="16"/>
      <c r="R20" s="17"/>
      <c r="S20" s="16"/>
      <c r="T20" s="16"/>
      <c r="U20" s="16"/>
      <c r="V20" s="16"/>
      <c r="W20" s="17"/>
      <c r="X20" s="16"/>
      <c r="Y20" s="16"/>
      <c r="Z20" s="16"/>
      <c r="AA20" s="16"/>
      <c r="AB20" s="17"/>
      <c r="AC20" s="16"/>
      <c r="AD20" s="16"/>
    </row>
    <row r="21" spans="1:30" s="48" customFormat="1" ht="15" customHeight="1" x14ac:dyDescent="0.35">
      <c r="A21" s="45" t="s">
        <v>34</v>
      </c>
      <c r="C21" s="42" t="s">
        <v>27</v>
      </c>
      <c r="D21" s="46">
        <v>0.39352941769739974</v>
      </c>
      <c r="E21" s="46">
        <v>0.39408852896990837</v>
      </c>
      <c r="F21" s="46">
        <v>0.38283170964862018</v>
      </c>
      <c r="G21" s="46">
        <v>0.37603108788953932</v>
      </c>
      <c r="H21" s="47">
        <v>0.38650208313300977</v>
      </c>
      <c r="I21" s="46">
        <v>0.36541514019100541</v>
      </c>
      <c r="J21" s="46">
        <v>0.36274422909976384</v>
      </c>
      <c r="K21" s="46">
        <v>0.37564103977206115</v>
      </c>
      <c r="L21" s="46">
        <v>0.35426019063164599</v>
      </c>
      <c r="M21" s="47">
        <v>0.36450872238336185</v>
      </c>
      <c r="N21" s="46">
        <v>0.33066454062730966</v>
      </c>
      <c r="O21" s="46">
        <v>0.33533599818604037</v>
      </c>
      <c r="P21" s="46">
        <v>0.33132566933990709</v>
      </c>
      <c r="Q21" s="46">
        <v>0.32750527259290246</v>
      </c>
      <c r="R21" s="47">
        <v>0.3311687113479484</v>
      </c>
      <c r="S21" s="46">
        <v>0.31163017953289457</v>
      </c>
      <c r="T21" s="46">
        <v>0.30801908830049346</v>
      </c>
      <c r="U21" s="46">
        <v>0.31911727550338431</v>
      </c>
      <c r="V21" s="46">
        <v>0.32326092635669429</v>
      </c>
      <c r="W21" s="47">
        <v>0.3154181167630612</v>
      </c>
      <c r="X21" s="46">
        <v>0.3113627456722029</v>
      </c>
      <c r="Y21" s="46">
        <v>0.30605643606846994</v>
      </c>
      <c r="Z21" s="46">
        <v>0.30646314026786892</v>
      </c>
      <c r="AA21" s="46">
        <v>0.30699296328617615</v>
      </c>
      <c r="AB21" s="47">
        <v>0.30769039856056757</v>
      </c>
      <c r="AC21" s="46">
        <v>0.30287193555791447</v>
      </c>
      <c r="AD21" s="46">
        <v>0.2787949173130474</v>
      </c>
    </row>
    <row r="22" spans="1:30" s="48" customFormat="1" ht="15" customHeight="1" x14ac:dyDescent="0.35">
      <c r="A22" s="45" t="s">
        <v>35</v>
      </c>
      <c r="C22" s="42" t="s">
        <v>27</v>
      </c>
      <c r="D22" s="46">
        <v>0.6064705823026002</v>
      </c>
      <c r="E22" s="46">
        <v>0.60591147103009169</v>
      </c>
      <c r="F22" s="46">
        <v>0.61716829035137977</v>
      </c>
      <c r="G22" s="46">
        <v>0.62396891211046068</v>
      </c>
      <c r="H22" s="47">
        <v>0.61349791686699029</v>
      </c>
      <c r="I22" s="46">
        <v>0.63458485980899459</v>
      </c>
      <c r="J22" s="46">
        <v>0.63725577090023622</v>
      </c>
      <c r="K22" s="46">
        <v>0.62435896022793891</v>
      </c>
      <c r="L22" s="46">
        <v>0.64573980936835396</v>
      </c>
      <c r="M22" s="47">
        <v>0.63549127761663815</v>
      </c>
      <c r="N22" s="46">
        <v>0.66933545937269034</v>
      </c>
      <c r="O22" s="46">
        <v>0.66466400181395957</v>
      </c>
      <c r="P22" s="46">
        <v>0.66867433066009285</v>
      </c>
      <c r="Q22" s="46">
        <v>0.67249472740709759</v>
      </c>
      <c r="R22" s="47">
        <v>0.66883128865205155</v>
      </c>
      <c r="S22" s="46">
        <v>0.68836982046710538</v>
      </c>
      <c r="T22" s="46">
        <v>0.6919809116995066</v>
      </c>
      <c r="U22" s="46">
        <v>0.68088272449661569</v>
      </c>
      <c r="V22" s="46">
        <v>0.67673907364330566</v>
      </c>
      <c r="W22" s="47">
        <v>0.6845818832369388</v>
      </c>
      <c r="X22" s="46">
        <v>0.6886372543277971</v>
      </c>
      <c r="Y22" s="46">
        <v>0.69394356393153001</v>
      </c>
      <c r="Z22" s="46">
        <v>0.69353685973213097</v>
      </c>
      <c r="AA22" s="46">
        <v>0.69300703671382391</v>
      </c>
      <c r="AB22" s="47">
        <v>0.69230960143943232</v>
      </c>
      <c r="AC22" s="46">
        <v>0.69712806444208553</v>
      </c>
      <c r="AD22" s="46">
        <v>0.7212050826869526</v>
      </c>
    </row>
    <row r="23" spans="1:30" ht="15" customHeight="1" x14ac:dyDescent="0.35"/>
    <row r="24" spans="1:30" ht="15" customHeight="1" x14ac:dyDescent="0.35">
      <c r="A24" s="24" t="s">
        <v>36</v>
      </c>
    </row>
    <row r="25" spans="1:30" s="28" customFormat="1" ht="15" customHeight="1" x14ac:dyDescent="0.35">
      <c r="A25" s="33" t="s">
        <v>37</v>
      </c>
      <c r="C25" s="16"/>
      <c r="D25" s="16"/>
      <c r="E25" s="16"/>
      <c r="F25" s="16"/>
      <c r="G25" s="16"/>
      <c r="H25" s="17"/>
      <c r="I25" s="16"/>
      <c r="J25" s="16"/>
      <c r="K25" s="16"/>
      <c r="L25" s="16"/>
      <c r="M25" s="17"/>
      <c r="N25" s="16"/>
      <c r="O25" s="16"/>
      <c r="P25" s="16"/>
      <c r="Q25" s="16"/>
      <c r="R25" s="17"/>
      <c r="S25" s="16"/>
      <c r="T25" s="16"/>
      <c r="U25" s="16"/>
      <c r="V25" s="16"/>
      <c r="W25" s="17"/>
      <c r="X25" s="16"/>
      <c r="Y25" s="16"/>
      <c r="Z25" s="16"/>
      <c r="AA25" s="16"/>
      <c r="AB25" s="17"/>
      <c r="AC25" s="16"/>
      <c r="AD25" s="16"/>
    </row>
    <row r="26" spans="1:30" s="48" customFormat="1" ht="15" customHeight="1" x14ac:dyDescent="0.35">
      <c r="A26" s="38" t="s">
        <v>38</v>
      </c>
      <c r="C26" s="29" t="s">
        <v>27</v>
      </c>
      <c r="D26" s="46">
        <f>'Consolidated PL'!D$9</f>
        <v>0.13551986014109579</v>
      </c>
      <c r="E26" s="46">
        <f>'Consolidated PL'!E$9</f>
        <v>0.1398831177252173</v>
      </c>
      <c r="F26" s="46">
        <f>'Consolidated PL'!F$9</f>
        <v>0.1551403697222824</v>
      </c>
      <c r="G26" s="46">
        <f>'Consolidated PL'!G$9</f>
        <v>0.14528972340868629</v>
      </c>
      <c r="H26" s="47">
        <f>'Consolidated PL'!H$9</f>
        <v>0.14382709814754754</v>
      </c>
      <c r="I26" s="46">
        <f>'Consolidated PL'!I$9</f>
        <v>0.14880726076407788</v>
      </c>
      <c r="J26" s="51">
        <f>'Consolidated PL'!J$9</f>
        <v>0.1548991883214986</v>
      </c>
      <c r="K26" s="46">
        <f>'Consolidated PL'!K$9</f>
        <v>0.19734761919087446</v>
      </c>
      <c r="L26" s="46">
        <f>'Consolidated PL'!L$9</f>
        <v>0.16148662515478079</v>
      </c>
      <c r="M26" s="47">
        <f>'Consolidated PL'!M$9</f>
        <v>0.16610413944527477</v>
      </c>
      <c r="N26" s="46">
        <f>'Consolidated PL'!N$9</f>
        <v>0.19806072653154599</v>
      </c>
      <c r="O26" s="46">
        <f>'Consolidated PL'!O$9</f>
        <v>0.19511015060653664</v>
      </c>
      <c r="P26" s="46">
        <f>'Consolidated PL'!P$9</f>
        <v>0.17991348287353318</v>
      </c>
      <c r="Q26" s="46">
        <f>'Consolidated PL'!Q$9</f>
        <v>0.19755797842615372</v>
      </c>
      <c r="R26" s="47">
        <f>'Consolidated PL'!R$9</f>
        <v>0.19269642610112878</v>
      </c>
      <c r="S26" s="46">
        <f>'Consolidated PL'!S$9</f>
        <v>0.23660374679028609</v>
      </c>
      <c r="T26" s="46">
        <f>'Consolidated PL'!T$9</f>
        <v>0.26301248482107614</v>
      </c>
      <c r="U26" s="46">
        <f>'Consolidated PL'!U$9</f>
        <v>0.24772708603977939</v>
      </c>
      <c r="V26" s="46">
        <f>'Consolidated PL'!V$9</f>
        <v>0.24923154805772574</v>
      </c>
      <c r="W26" s="47">
        <f>'Consolidated PL'!W$9</f>
        <v>0.24915543324947492</v>
      </c>
      <c r="X26" s="46">
        <f>'Consolidated PL'!X$9</f>
        <v>0.24033994673158199</v>
      </c>
      <c r="Y26" s="46">
        <f>'Consolidated PL'!Y$9</f>
        <v>0.26661610633033206</v>
      </c>
      <c r="Z26" s="46">
        <f>'Consolidated PL'!Z$9</f>
        <v>0.258662501497813</v>
      </c>
      <c r="AA26" s="46">
        <f>'Consolidated PL'!AA$9</f>
        <v>0.24520723862073884</v>
      </c>
      <c r="AB26" s="47">
        <f>'Consolidated PL'!AB$9</f>
        <v>0.2527230733746042</v>
      </c>
      <c r="AC26" s="46">
        <f>'Consolidated PL'!AC$9</f>
        <v>0.24986001959289733</v>
      </c>
      <c r="AD26" s="46">
        <f>'Consolidated PL'!AD$9</f>
        <v>0.25495245826929241</v>
      </c>
    </row>
    <row r="27" spans="1:30" s="48" customFormat="1" ht="15" customHeight="1" x14ac:dyDescent="0.35">
      <c r="A27" s="38" t="s">
        <v>39</v>
      </c>
      <c r="C27" s="29" t="s">
        <v>27</v>
      </c>
      <c r="D27" s="46">
        <f>'Consolidated PL'!D$11/'Consolidated PL'!D$6</f>
        <v>3.3051359815688006E-2</v>
      </c>
      <c r="E27" s="46">
        <f>'Consolidated PL'!E$11/'Consolidated PL'!E$6</f>
        <v>2.6006085847759555E-2</v>
      </c>
      <c r="F27" s="46">
        <f>'Consolidated PL'!F$11/'Consolidated PL'!F$6</f>
        <v>4.1065909491819728E-2</v>
      </c>
      <c r="G27" s="46">
        <f>'Consolidated PL'!G$11/'Consolidated PL'!G$6</f>
        <v>2.0256419200058672E-2</v>
      </c>
      <c r="H27" s="47">
        <f>'Consolidated PL'!H$11/'Consolidated PL'!H$6</f>
        <v>3.0165606647053183E-2</v>
      </c>
      <c r="I27" s="46">
        <f>'Consolidated PL'!I$11/'Consolidated PL'!I$6</f>
        <v>2.5859657829883174E-2</v>
      </c>
      <c r="J27" s="51">
        <f>'Consolidated PL'!J$11/'Consolidated PL'!J$6</f>
        <v>3.1850271929878743E-2</v>
      </c>
      <c r="K27" s="46">
        <f>'Consolidated PL'!K$11/'Consolidated PL'!K$6</f>
        <v>7.4738941884895813E-2</v>
      </c>
      <c r="L27" s="46">
        <f>'Consolidated PL'!L$11/'Consolidated PL'!L$6</f>
        <v>2.9834700008194034E-2</v>
      </c>
      <c r="M27" s="47">
        <f>'Consolidated PL'!M$11/'Consolidated PL'!M$6</f>
        <v>4.0983954255864812E-2</v>
      </c>
      <c r="N27" s="46">
        <f>'Consolidated PL'!N$11/'Consolidated PL'!N$6</f>
        <v>6.560650651039196E-2</v>
      </c>
      <c r="O27" s="46">
        <f>'Consolidated PL'!O$11/'Consolidated PL'!O$6</f>
        <v>6.4435921569048732E-2</v>
      </c>
      <c r="P27" s="46">
        <f>'Consolidated PL'!P$11/'Consolidated PL'!P$6</f>
        <v>4.7365581656354724E-2</v>
      </c>
      <c r="Q27" s="46">
        <f>'Consolidated PL'!Q$11/'Consolidated PL'!Q$6</f>
        <v>4.1411074773486323E-2</v>
      </c>
      <c r="R27" s="47">
        <f>'Consolidated PL'!R$11/'Consolidated PL'!R$6</f>
        <v>5.4559730331761015E-2</v>
      </c>
      <c r="S27" s="46">
        <f>'Consolidated PL'!S$11/'Consolidated PL'!S$6</f>
        <v>0.10261890088493025</v>
      </c>
      <c r="T27" s="46">
        <f>'Consolidated PL'!T$11/'Consolidated PL'!T$6</f>
        <v>0.13305907971062958</v>
      </c>
      <c r="U27" s="46">
        <f>'Consolidated PL'!U$11/'Consolidated PL'!U$6</f>
        <v>0.11583113534499888</v>
      </c>
      <c r="V27" s="46">
        <f>'Consolidated PL'!V$11/'Consolidated PL'!V$6</f>
        <v>0.10314818982255698</v>
      </c>
      <c r="W27" s="47">
        <f>'Consolidated PL'!W$11/'Consolidated PL'!W$6</f>
        <v>0.1138421447451208</v>
      </c>
      <c r="X27" s="46">
        <f>'Consolidated PL'!X$11/'Consolidated PL'!X$6</f>
        <v>0.11073060587783931</v>
      </c>
      <c r="Y27" s="46">
        <f>'Consolidated PL'!Y$11/'Consolidated PL'!Y$6</f>
        <v>0.13686224943943534</v>
      </c>
      <c r="Z27" s="46">
        <f>'Consolidated PL'!Z$11/'Consolidated PL'!Z$6</f>
        <v>0.12903680314166227</v>
      </c>
      <c r="AA27" s="46">
        <f>'Consolidated PL'!AA$11/'Consolidated PL'!AA$6</f>
        <v>0.10711042400445979</v>
      </c>
      <c r="AB27" s="47">
        <f>'Consolidated PL'!AB$11/'Consolidated PL'!AB$6</f>
        <v>0.12091016491066491</v>
      </c>
      <c r="AC27" s="46">
        <f>'Consolidated PL'!AC$11/'Consolidated PL'!AC$6</f>
        <v>0.1253125426717468</v>
      </c>
      <c r="AD27" s="46">
        <f>'Consolidated PL'!AD$11/'Consolidated PL'!AD$6</f>
        <v>0.13045214559727214</v>
      </c>
    </row>
    <row r="28" spans="1:30" s="48" customFormat="1" ht="15" customHeight="1" x14ac:dyDescent="0.35">
      <c r="A28" s="38" t="s">
        <v>40</v>
      </c>
      <c r="C28" s="29" t="s">
        <v>27</v>
      </c>
      <c r="D28" s="46">
        <f>'Consolidated PL'!D$17/'Consolidated PL'!D$6</f>
        <v>7.4341115092463744E-3</v>
      </c>
      <c r="E28" s="46">
        <f>'Consolidated PL'!E$17/'Consolidated PL'!E$6</f>
        <v>-5.8888559372909065E-2</v>
      </c>
      <c r="F28" s="46">
        <f>'Consolidated PL'!F$17/'Consolidated PL'!F$6</f>
        <v>2.4647587304179363E-3</v>
      </c>
      <c r="G28" s="46">
        <f>'Consolidated PL'!G$17/'Consolidated PL'!G$6</f>
        <v>-2.9937969333037717E-2</v>
      </c>
      <c r="H28" s="47">
        <f>'Consolidated PL'!H$17/'Consolidated PL'!H$6</f>
        <v>-1.9592778853240074E-2</v>
      </c>
      <c r="I28" s="46">
        <f>'Consolidated PL'!I$17/'Consolidated PL'!I$6</f>
        <v>-1.4832831012857487E-2</v>
      </c>
      <c r="J28" s="51">
        <f>'Consolidated PL'!J$17/'Consolidated PL'!J$6</f>
        <v>4.013349182231614E-4</v>
      </c>
      <c r="K28" s="46">
        <f>'Consolidated PL'!K$17/'Consolidated PL'!K$6</f>
        <v>4.0594876588779812E-2</v>
      </c>
      <c r="L28" s="46">
        <f>'Consolidated PL'!L$17/'Consolidated PL'!L$6</f>
        <v>-4.6850574557061674E-2</v>
      </c>
      <c r="M28" s="47">
        <f>'Consolidated PL'!M$17/'Consolidated PL'!M$6</f>
        <v>-4.9836880913306878E-3</v>
      </c>
      <c r="N28" s="46">
        <f>'Consolidated PL'!N$17/'Consolidated PL'!N$6</f>
        <v>1.8382253748788036E-2</v>
      </c>
      <c r="O28" s="46">
        <f>'Consolidated PL'!O$17/'Consolidated PL'!O$6</f>
        <v>1.2613876938056455E-2</v>
      </c>
      <c r="P28" s="46">
        <f>'Consolidated PL'!P$17/'Consolidated PL'!P$6</f>
        <v>1.3841066790561445E-2</v>
      </c>
      <c r="Q28" s="46">
        <f>'Consolidated PL'!Q$17/'Consolidated PL'!Q$6</f>
        <v>-6.2540707822308916E-2</v>
      </c>
      <c r="R28" s="47">
        <f>'Consolidated PL'!R$17/'Consolidated PL'!R$6</f>
        <v>-5.0382149615716722E-3</v>
      </c>
      <c r="S28" s="46">
        <f>'Consolidated PL'!S$17/'Consolidated PL'!S$6</f>
        <v>5.8549979929410412E-2</v>
      </c>
      <c r="T28" s="46">
        <f>'Consolidated PL'!T$17/'Consolidated PL'!T$6</f>
        <v>8.7362572859502705E-2</v>
      </c>
      <c r="U28" s="46">
        <f>'Consolidated PL'!U$17/'Consolidated PL'!U$6</f>
        <v>7.3212997959271275E-2</v>
      </c>
      <c r="V28" s="46">
        <f>'Consolidated PL'!V$17/'Consolidated PL'!V$6</f>
        <v>7.3451840091877926E-2</v>
      </c>
      <c r="W28" s="47">
        <f>'Consolidated PL'!W$17/'Consolidated PL'!W$6</f>
        <v>7.3136148353018973E-2</v>
      </c>
      <c r="X28" s="46">
        <f>'Consolidated PL'!X$17/'Consolidated PL'!X$6</f>
        <v>7.2176213992803911E-2</v>
      </c>
      <c r="Y28" s="46">
        <f>'Consolidated PL'!Y$17/'Consolidated PL'!Y$6</f>
        <v>0.10191927768852632</v>
      </c>
      <c r="Z28" s="46">
        <f>'Consolidated PL'!Z$17/'Consolidated PL'!Z$6</f>
        <v>9.4430062579986498E-2</v>
      </c>
      <c r="AA28" s="46">
        <f>'Consolidated PL'!AA$17/'Consolidated PL'!AA$6</f>
        <v>8.5630828017812508E-2</v>
      </c>
      <c r="AB28" s="47">
        <f>'Consolidated PL'!AB$17/'Consolidated PL'!AB$6</f>
        <v>8.8597133913936629E-2</v>
      </c>
      <c r="AC28" s="46">
        <f>'Consolidated PL'!AC$17/'Consolidated PL'!AC$6</f>
        <v>0.12614772906810245</v>
      </c>
      <c r="AD28" s="46">
        <f>'Consolidated PL'!AD$17/'Consolidated PL'!AD$6</f>
        <v>0.12013596352554068</v>
      </c>
    </row>
    <row r="29" spans="1:30" s="37" customFormat="1" ht="15" customHeight="1" x14ac:dyDescent="0.35">
      <c r="A29" s="38" t="s">
        <v>41</v>
      </c>
      <c r="B29" s="39"/>
      <c r="C29" s="29" t="s">
        <v>42</v>
      </c>
      <c r="D29" s="52">
        <v>3.3496533439606138</v>
      </c>
      <c r="E29" s="52">
        <v>3.5136731159621739</v>
      </c>
      <c r="F29" s="52">
        <v>3.42003642929039</v>
      </c>
      <c r="G29" s="52">
        <v>3.0862435562544728</v>
      </c>
      <c r="H29" s="53">
        <v>3.0862435562544728</v>
      </c>
      <c r="I29" s="52">
        <v>3.6039214688253618</v>
      </c>
      <c r="J29" s="54">
        <v>3.7033470962659836</v>
      </c>
      <c r="K29" s="52">
        <v>3.3961688304512858</v>
      </c>
      <c r="L29" s="52">
        <v>3.1039178157858665</v>
      </c>
      <c r="M29" s="53">
        <v>3.1039178157858665</v>
      </c>
      <c r="N29" s="52">
        <v>2.8859209827390617</v>
      </c>
      <c r="O29" s="52">
        <v>2.8028542020394251</v>
      </c>
      <c r="P29" s="52">
        <v>2.8869123564483363</v>
      </c>
      <c r="Q29" s="52">
        <v>2.7899371089362637</v>
      </c>
      <c r="R29" s="53">
        <v>2.7899371089362637</v>
      </c>
      <c r="S29" s="52">
        <v>2.5699482560060889</v>
      </c>
      <c r="T29" s="52">
        <v>2.2542731110447547</v>
      </c>
      <c r="U29" s="52">
        <v>1.9376810217383629</v>
      </c>
      <c r="V29" s="52">
        <v>1.8274995289350329</v>
      </c>
      <c r="W29" s="53">
        <f>V29</f>
        <v>1.8274995289350329</v>
      </c>
      <c r="X29" s="52">
        <v>1.9027965339557267</v>
      </c>
      <c r="Y29" s="52">
        <v>1.8655290197163099</v>
      </c>
      <c r="Z29" s="52">
        <v>1.7130091880161955</v>
      </c>
      <c r="AA29" s="52">
        <v>1.5956036577275006</v>
      </c>
      <c r="AB29" s="53">
        <f>AA29</f>
        <v>1.5956036577275006</v>
      </c>
      <c r="AC29" s="52">
        <v>1.42074519127052</v>
      </c>
      <c r="AD29" s="52">
        <v>1.4766498211974861</v>
      </c>
    </row>
    <row r="30" spans="1:30" s="48" customFormat="1" ht="15" customHeight="1" x14ac:dyDescent="0.35">
      <c r="A30" s="38" t="s">
        <v>43</v>
      </c>
      <c r="C30" s="29" t="s">
        <v>27</v>
      </c>
      <c r="D30" s="55">
        <v>3.2399999999999998E-2</v>
      </c>
      <c r="E30" s="55">
        <v>3.3000000000000002E-2</v>
      </c>
      <c r="F30" s="55">
        <v>3.5999999999999997E-2</v>
      </c>
      <c r="G30" s="55">
        <v>3.8699999999999998E-2</v>
      </c>
      <c r="H30" s="49">
        <v>3.5000000000000003E-2</v>
      </c>
      <c r="I30" s="55">
        <v>3.5900000000000001E-2</v>
      </c>
      <c r="J30" s="51">
        <v>3.6700000000000003E-2</v>
      </c>
      <c r="K30" s="46">
        <v>3.7600000000000001E-2</v>
      </c>
      <c r="L30" s="46">
        <v>3.8600000000000002E-2</v>
      </c>
      <c r="M30" s="47">
        <v>3.7199999999999997E-2</v>
      </c>
      <c r="N30" s="46">
        <v>3.9300000000000002E-2</v>
      </c>
      <c r="O30" s="46">
        <v>3.7699999999999997E-2</v>
      </c>
      <c r="P30" s="46">
        <v>3.5499999999999997E-2</v>
      </c>
      <c r="Q30" s="46">
        <v>3.73E-2</v>
      </c>
      <c r="R30" s="47">
        <v>3.7499999999999999E-2</v>
      </c>
      <c r="S30" s="46">
        <v>3.0300000000000001E-2</v>
      </c>
      <c r="T30" s="46">
        <v>2.8000000000000001E-2</v>
      </c>
      <c r="U30" s="46">
        <v>2.8799999999999999E-2</v>
      </c>
      <c r="V30" s="46">
        <v>2.81E-2</v>
      </c>
      <c r="W30" s="47">
        <f>AVERAGE(S30:V30)</f>
        <v>2.8800000000000003E-2</v>
      </c>
      <c r="X30" s="46">
        <v>2.8899999999999999E-2</v>
      </c>
      <c r="Y30" s="46">
        <v>2.87E-2</v>
      </c>
      <c r="Z30" s="46">
        <v>2.69E-2</v>
      </c>
      <c r="AA30" s="55">
        <v>3.27E-2</v>
      </c>
      <c r="AB30" s="47">
        <f>AVERAGE(X30:AA30)</f>
        <v>2.93E-2</v>
      </c>
      <c r="AC30" s="46">
        <v>2.6700000000000002E-2</v>
      </c>
      <c r="AD30" s="46">
        <v>3.6900000000000002E-2</v>
      </c>
    </row>
    <row r="31" spans="1:30" s="37" customFormat="1" ht="15" customHeight="1" x14ac:dyDescent="0.35">
      <c r="A31" s="38" t="s">
        <v>44</v>
      </c>
      <c r="B31" s="39"/>
      <c r="C31" s="29" t="s">
        <v>42</v>
      </c>
      <c r="D31" s="52">
        <v>1.148352034161759</v>
      </c>
      <c r="E31" s="52">
        <v>0.94680091300184377</v>
      </c>
      <c r="F31" s="52">
        <v>1.3652932738876831</v>
      </c>
      <c r="G31" s="52">
        <v>1.4697872059469899</v>
      </c>
      <c r="H31" s="53">
        <v>1.4697872059469899</v>
      </c>
      <c r="I31" s="52">
        <v>1.2941696322662557</v>
      </c>
      <c r="J31" s="54">
        <v>1.3101773515972437</v>
      </c>
      <c r="K31" s="52">
        <v>1.6485647856534247</v>
      </c>
      <c r="L31" s="52">
        <v>1.7078679151525742</v>
      </c>
      <c r="M31" s="53">
        <v>1.7078679151525742</v>
      </c>
      <c r="N31" s="52">
        <v>2.0139719917738064</v>
      </c>
      <c r="O31" s="52">
        <v>2.263852767587704</v>
      </c>
      <c r="P31" s="52">
        <v>1.9398712163256118</v>
      </c>
      <c r="Q31" s="52">
        <v>1.9782049717790553</v>
      </c>
      <c r="R31" s="53">
        <v>1.9782049717790553</v>
      </c>
      <c r="S31" s="52">
        <v>2.3542792859038317</v>
      </c>
      <c r="T31" s="52">
        <v>3.0733108631412573</v>
      </c>
      <c r="U31" s="52">
        <v>3.7945518878480553</v>
      </c>
      <c r="V31" s="52">
        <v>4.6328404591581753</v>
      </c>
      <c r="W31" s="53">
        <f>V31</f>
        <v>4.6328404591581753</v>
      </c>
      <c r="X31" s="52">
        <v>4.87151455060331</v>
      </c>
      <c r="Y31" s="52">
        <v>5.0317563901295888</v>
      </c>
      <c r="Z31" s="52">
        <v>5.4620067939524182</v>
      </c>
      <c r="AA31" s="52">
        <v>5.6132422215949695</v>
      </c>
      <c r="AB31" s="53">
        <f>AA31</f>
        <v>5.6132422215949695</v>
      </c>
      <c r="AC31" s="52">
        <v>6.1291045885866149</v>
      </c>
      <c r="AD31" s="52">
        <v>6.0267175303408465</v>
      </c>
    </row>
    <row r="32" spans="1:30" s="48" customFormat="1" ht="15" customHeight="1" x14ac:dyDescent="0.35">
      <c r="A32" s="38" t="s">
        <v>45</v>
      </c>
      <c r="C32" s="29" t="s">
        <v>27</v>
      </c>
      <c r="D32" s="46">
        <v>4.3156608683976715E-2</v>
      </c>
      <c r="E32" s="46">
        <v>3.3705363607463873E-2</v>
      </c>
      <c r="F32" s="46">
        <v>4.8024825265481026E-2</v>
      </c>
      <c r="G32" s="46">
        <v>6.0015646242972918E-2</v>
      </c>
      <c r="H32" s="47">
        <v>6.0015646242972918E-2</v>
      </c>
      <c r="I32" s="46">
        <v>5.1856515498735094E-2</v>
      </c>
      <c r="J32" s="46">
        <v>5.6434657383596716E-2</v>
      </c>
      <c r="K32" s="46">
        <v>7.1415782060689992E-2</v>
      </c>
      <c r="L32" s="46">
        <v>8.3190807899027538E-2</v>
      </c>
      <c r="M32" s="47">
        <v>8.3190807899027538E-2</v>
      </c>
      <c r="N32" s="46">
        <v>9.8963922804663762E-2</v>
      </c>
      <c r="O32" s="46">
        <v>0.11653611353366441</v>
      </c>
      <c r="P32" s="46">
        <v>0.10056047061798271</v>
      </c>
      <c r="Q32" s="46">
        <v>0.11466129039574532</v>
      </c>
      <c r="R32" s="47">
        <v>0.11466129039574532</v>
      </c>
      <c r="S32" s="46">
        <v>0.13639696348964306</v>
      </c>
      <c r="T32" s="46">
        <v>0.17276128952361364</v>
      </c>
      <c r="U32" s="46">
        <v>0.21079518469136502</v>
      </c>
      <c r="V32" s="46">
        <v>0.24643099009979311</v>
      </c>
      <c r="W32" s="47">
        <f>V32</f>
        <v>0.24643099009979311</v>
      </c>
      <c r="X32" s="46">
        <v>0.2467885216914722</v>
      </c>
      <c r="Y32" s="46">
        <v>0.24063176056747826</v>
      </c>
      <c r="Z32" s="46">
        <v>0.25403645639839889</v>
      </c>
      <c r="AA32" s="46">
        <v>0.25969721462057183</v>
      </c>
      <c r="AB32" s="47">
        <f>AA32</f>
        <v>0.25969721462057183</v>
      </c>
      <c r="AC32" s="46">
        <v>0.29095524060513644</v>
      </c>
      <c r="AD32" s="46">
        <v>0.27703980201269618</v>
      </c>
    </row>
    <row r="33" spans="1:30" ht="15" customHeight="1" x14ac:dyDescent="0.35">
      <c r="A33" s="56"/>
      <c r="C33" s="29"/>
      <c r="J33" s="57"/>
      <c r="X33" s="58"/>
      <c r="Y33" s="58"/>
      <c r="Z33" s="58"/>
      <c r="AA33" s="58"/>
      <c r="AC33" s="58"/>
      <c r="AD33" s="58"/>
    </row>
    <row r="34" spans="1:30" s="28" customFormat="1" ht="15" customHeight="1" x14ac:dyDescent="0.35">
      <c r="A34" s="33" t="s">
        <v>46</v>
      </c>
      <c r="C34" s="29"/>
      <c r="D34" s="16"/>
      <c r="E34" s="16"/>
      <c r="F34" s="16"/>
      <c r="G34" s="16"/>
      <c r="H34" s="17"/>
      <c r="I34" s="16"/>
      <c r="J34" s="59"/>
      <c r="K34" s="16"/>
      <c r="L34" s="16"/>
      <c r="M34" s="17"/>
      <c r="N34" s="16"/>
      <c r="O34" s="16"/>
      <c r="P34" s="16"/>
      <c r="Q34" s="16"/>
      <c r="R34" s="17"/>
      <c r="S34" s="16"/>
      <c r="T34" s="16"/>
      <c r="U34" s="16"/>
      <c r="V34" s="16"/>
      <c r="W34" s="17"/>
      <c r="X34" s="16"/>
      <c r="Y34" s="16"/>
      <c r="Z34" s="16"/>
      <c r="AA34" s="16"/>
      <c r="AB34" s="17"/>
      <c r="AC34" s="16"/>
      <c r="AD34" s="16"/>
    </row>
    <row r="35" spans="1:30" s="37" customFormat="1" ht="15" customHeight="1" x14ac:dyDescent="0.35">
      <c r="A35" s="38" t="s">
        <v>47</v>
      </c>
      <c r="B35" s="39"/>
      <c r="C35" s="29" t="s">
        <v>48</v>
      </c>
      <c r="D35" s="30">
        <v>20603</v>
      </c>
      <c r="E35" s="30">
        <v>19530</v>
      </c>
      <c r="F35" s="30">
        <v>19424</v>
      </c>
      <c r="G35" s="30">
        <v>17674</v>
      </c>
      <c r="H35" s="60">
        <v>17674</v>
      </c>
      <c r="I35" s="61">
        <v>17656</v>
      </c>
      <c r="J35" s="61">
        <v>14263.999999999998</v>
      </c>
      <c r="K35" s="61">
        <v>14943</v>
      </c>
      <c r="L35" s="61">
        <v>17463</v>
      </c>
      <c r="M35" s="60">
        <v>17463</v>
      </c>
      <c r="N35" s="61">
        <v>13821.074999999999</v>
      </c>
      <c r="O35" s="61">
        <v>10690.349999999999</v>
      </c>
      <c r="P35" s="61">
        <v>11313.074999999999</v>
      </c>
      <c r="Q35" s="61">
        <v>6644.8</v>
      </c>
      <c r="R35" s="60">
        <v>6644.8</v>
      </c>
      <c r="S35" s="61">
        <v>17436.3</v>
      </c>
      <c r="T35" s="61">
        <v>24150.9</v>
      </c>
      <c r="U35" s="61">
        <v>31369.9</v>
      </c>
      <c r="V35" s="61">
        <v>30289.8</v>
      </c>
      <c r="W35" s="60">
        <v>30289.8</v>
      </c>
      <c r="X35" s="61">
        <v>36682.300000000003</v>
      </c>
      <c r="Y35" s="30">
        <v>39664.9</v>
      </c>
      <c r="Z35" s="30">
        <v>41736.800000000003</v>
      </c>
      <c r="AA35" s="30">
        <v>35015.1</v>
      </c>
      <c r="AB35" s="60">
        <v>35015.1</v>
      </c>
      <c r="AC35" s="149">
        <v>26056.125</v>
      </c>
      <c r="AD35" s="149">
        <v>32797.799999999996</v>
      </c>
    </row>
    <row r="36" spans="1:30" s="37" customFormat="1" ht="15" customHeight="1" x14ac:dyDescent="0.35">
      <c r="A36" s="38" t="s">
        <v>49</v>
      </c>
      <c r="B36" s="39"/>
      <c r="C36" s="29" t="s">
        <v>48</v>
      </c>
      <c r="D36" s="30">
        <v>28389.870000000003</v>
      </c>
      <c r="E36" s="30">
        <v>27424.467750000003</v>
      </c>
      <c r="F36" s="30">
        <v>27428.595499999999</v>
      </c>
      <c r="G36" s="30">
        <v>25175.642500000002</v>
      </c>
      <c r="H36" s="60">
        <v>25175.642500000002</v>
      </c>
      <c r="I36" s="61">
        <v>26499.315999999999</v>
      </c>
      <c r="J36" s="61">
        <v>23338.753999999997</v>
      </c>
      <c r="K36" s="61">
        <v>23930.120999999999</v>
      </c>
      <c r="L36" s="61">
        <v>25990.287999999997</v>
      </c>
      <c r="M36" s="60">
        <v>25990.287999999997</v>
      </c>
      <c r="N36" s="61">
        <v>22432.274999999998</v>
      </c>
      <c r="O36" s="61">
        <v>19623.417000000001</v>
      </c>
      <c r="P36" s="61">
        <v>20277.998999999996</v>
      </c>
      <c r="Q36" s="61">
        <v>15820.736000000001</v>
      </c>
      <c r="R36" s="60">
        <v>15820.736000000001</v>
      </c>
      <c r="S36" s="61">
        <v>26444.0465</v>
      </c>
      <c r="T36" s="61">
        <v>32782.358850000004</v>
      </c>
      <c r="U36" s="61">
        <v>39341.983140000004</v>
      </c>
      <c r="V36" s="61">
        <v>38075.79567</v>
      </c>
      <c r="W36" s="60">
        <v>38075.79567</v>
      </c>
      <c r="X36" s="61">
        <v>44683.329860000005</v>
      </c>
      <c r="Y36" s="30">
        <v>47425.878511201656</v>
      </c>
      <c r="Z36" s="30">
        <v>48925.549444339151</v>
      </c>
      <c r="AA36" s="30">
        <v>41759.279099541112</v>
      </c>
      <c r="AB36" s="60">
        <v>41759.279099541112</v>
      </c>
      <c r="AC36" s="149">
        <v>32190.485000000001</v>
      </c>
      <c r="AD36" s="149">
        <v>39198.266009599982</v>
      </c>
    </row>
    <row r="37" spans="1:30" s="37" customFormat="1" ht="15" customHeight="1" x14ac:dyDescent="0.35">
      <c r="A37" s="38" t="s">
        <v>50</v>
      </c>
      <c r="B37" s="39"/>
      <c r="C37" s="29" t="s">
        <v>42</v>
      </c>
      <c r="D37" s="30">
        <v>12.583146186329845</v>
      </c>
      <c r="E37" s="30">
        <v>12.658593766756162</v>
      </c>
      <c r="F37" s="30">
        <v>12.289135544077102</v>
      </c>
      <c r="G37" s="30">
        <v>10.987063760609493</v>
      </c>
      <c r="H37" s="53">
        <v>10.987063760609493</v>
      </c>
      <c r="I37" s="52">
        <v>11.581164561624213</v>
      </c>
      <c r="J37" s="62">
        <v>9.5375896793093169</v>
      </c>
      <c r="K37" s="52">
        <v>9.0419126161064636</v>
      </c>
      <c r="L37" s="52">
        <v>9.4687227431132452</v>
      </c>
      <c r="M37" s="53">
        <v>9.4687227431132452</v>
      </c>
      <c r="N37" s="52">
        <v>7.5184253573193534</v>
      </c>
      <c r="O37" s="52">
        <v>6.1570764886037361</v>
      </c>
      <c r="P37" s="52">
        <v>6.5299835087444142</v>
      </c>
      <c r="Q37" s="52">
        <v>4.8102840361009367</v>
      </c>
      <c r="R37" s="53">
        <v>4.8102840361009367</v>
      </c>
      <c r="S37" s="52">
        <v>7.5445537405824865</v>
      </c>
      <c r="T37" s="52">
        <v>8.5617496829258535</v>
      </c>
      <c r="U37" s="52">
        <v>9.5611707295563928</v>
      </c>
      <c r="V37" s="52">
        <v>8.9367553619764628</v>
      </c>
      <c r="W37" s="53">
        <v>8.9367553619764628</v>
      </c>
      <c r="X37" s="30">
        <v>10.487607171186347</v>
      </c>
      <c r="Y37" s="30">
        <v>11.399896613615038</v>
      </c>
      <c r="Z37" s="30">
        <v>11.658483353163826</v>
      </c>
      <c r="AA37" s="30">
        <v>9.8798174680481274</v>
      </c>
      <c r="AB37" s="53">
        <v>9.8798174680481274</v>
      </c>
      <c r="AC37" s="149">
        <v>7.4554601895578028</v>
      </c>
      <c r="AD37" s="149">
        <v>9.0433770789524335</v>
      </c>
    </row>
    <row r="40" spans="1:30" x14ac:dyDescent="0.35">
      <c r="A40" s="63" t="s">
        <v>51</v>
      </c>
    </row>
  </sheetData>
  <dataConsolidate/>
  <hyperlinks>
    <hyperlink ref="B1" location="Index!A1" display="Index" xr:uid="{2FDD90D4-7B8A-44EE-8B60-741F17DE5E89}"/>
  </hyperlinks>
  <pageMargins left="0.7" right="0.7" top="0.75" bottom="0.75" header="0.3" footer="0.3"/>
  <pageSetup orientation="portrait" horizontalDpi="4294967292" verticalDpi="90" r:id="rId1"/>
  <headerFooter>
    <oddFooter>&amp;L_x000D_&amp;1#&amp;"Calibri"&amp;10&amp;K000000 Tata Communications -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F489-99F5-4877-84F9-182D1683E795}">
  <sheetPr codeName="Sheet3"/>
  <dimension ref="A1:AF24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D4" sqref="AD4"/>
    </sheetView>
  </sheetViews>
  <sheetFormatPr defaultColWidth="9.1796875" defaultRowHeight="14.5" outlineLevelCol="1" x14ac:dyDescent="0.35"/>
  <cols>
    <col min="1" max="1" width="40.1796875" customWidth="1"/>
    <col min="2" max="2" width="5.7265625" customWidth="1"/>
    <col min="3" max="3" width="0.81640625" customWidth="1"/>
    <col min="4" max="7" width="9.1796875" style="16" hidden="1" customWidth="1" outlineLevel="1"/>
    <col min="8" max="8" width="9.1796875" style="17" collapsed="1"/>
    <col min="9" max="12" width="9.1796875" style="16" hidden="1" customWidth="1" outlineLevel="1"/>
    <col min="13" max="13" width="9.1796875" style="17" collapsed="1"/>
    <col min="14" max="17" width="9.1796875" style="16" hidden="1" customWidth="1" outlineLevel="1"/>
    <col min="18" max="18" width="9.1796875" style="17" collapsed="1"/>
    <col min="19" max="22" width="9.1796875" style="16" hidden="1" customWidth="1" outlineLevel="1"/>
    <col min="23" max="23" width="9.1796875" style="17" collapsed="1"/>
    <col min="24" max="27" width="9.1796875" style="16" hidden="1" customWidth="1" outlineLevel="1"/>
    <col min="28" max="28" width="9.1796875" style="17" collapsed="1"/>
    <col min="29" max="30" width="9.1796875" style="16" customWidth="1" outlineLevel="1"/>
  </cols>
  <sheetData>
    <row r="1" spans="1:32" ht="18.5" x14ac:dyDescent="0.45">
      <c r="A1" s="13" t="s">
        <v>8</v>
      </c>
      <c r="B1" s="64" t="s">
        <v>9</v>
      </c>
      <c r="C1" s="65"/>
    </row>
    <row r="2" spans="1:32" ht="15.5" x14ac:dyDescent="0.35">
      <c r="A2" s="8" t="s">
        <v>52</v>
      </c>
      <c r="B2" s="8"/>
      <c r="C2" s="8"/>
    </row>
    <row r="3" spans="1:32" s="68" customFormat="1" ht="15.5" x14ac:dyDescent="0.35">
      <c r="A3" s="66"/>
      <c r="B3" s="66"/>
      <c r="C3" s="66"/>
      <c r="D3" s="29"/>
      <c r="E3" s="29"/>
      <c r="F3" s="29"/>
      <c r="G3" s="29"/>
      <c r="H3" s="67"/>
      <c r="I3" s="29"/>
      <c r="J3" s="29"/>
      <c r="K3" s="29"/>
      <c r="L3" s="29"/>
      <c r="M3" s="67"/>
      <c r="N3" s="29"/>
      <c r="O3" s="29"/>
      <c r="P3" s="29"/>
      <c r="Q3" s="29"/>
      <c r="R3" s="67"/>
      <c r="S3" s="29"/>
      <c r="T3" s="29"/>
      <c r="U3" s="29"/>
      <c r="V3" s="29"/>
      <c r="W3" s="67"/>
      <c r="X3" s="29"/>
      <c r="Y3" s="29"/>
      <c r="Z3" s="29"/>
      <c r="AA3" s="29"/>
      <c r="AB3" s="67"/>
      <c r="AC3" s="29"/>
      <c r="AD3" s="29"/>
    </row>
    <row r="4" spans="1:32" s="39" customFormat="1" x14ac:dyDescent="0.35">
      <c r="A4" s="69" t="s">
        <v>11</v>
      </c>
      <c r="B4" s="20"/>
      <c r="C4" s="20"/>
      <c r="D4" s="22">
        <v>42916</v>
      </c>
      <c r="E4" s="22">
        <v>43008</v>
      </c>
      <c r="F4" s="22">
        <v>43100</v>
      </c>
      <c r="G4" s="22">
        <v>43190</v>
      </c>
      <c r="H4" s="23" t="s">
        <v>53</v>
      </c>
      <c r="I4" s="22">
        <v>43281</v>
      </c>
      <c r="J4" s="22">
        <v>43373</v>
      </c>
      <c r="K4" s="22">
        <v>43465</v>
      </c>
      <c r="L4" s="22">
        <v>43555</v>
      </c>
      <c r="M4" s="23" t="s">
        <v>54</v>
      </c>
      <c r="N4" s="22">
        <v>43646</v>
      </c>
      <c r="O4" s="22">
        <v>43738</v>
      </c>
      <c r="P4" s="22">
        <v>43830</v>
      </c>
      <c r="Q4" s="22">
        <v>43921</v>
      </c>
      <c r="R4" s="23" t="s">
        <v>55</v>
      </c>
      <c r="S4" s="22">
        <v>44012</v>
      </c>
      <c r="T4" s="22">
        <v>44104</v>
      </c>
      <c r="U4" s="22">
        <v>44196</v>
      </c>
      <c r="V4" s="22">
        <v>44286</v>
      </c>
      <c r="W4" s="23" t="s">
        <v>16</v>
      </c>
      <c r="X4" s="22">
        <v>44377</v>
      </c>
      <c r="Y4" s="22">
        <v>44469</v>
      </c>
      <c r="Z4" s="22">
        <v>44561</v>
      </c>
      <c r="AA4" s="22">
        <v>44651</v>
      </c>
      <c r="AB4" s="23" t="s">
        <v>17</v>
      </c>
      <c r="AC4" s="22">
        <v>44742</v>
      </c>
      <c r="AD4" s="22">
        <v>44834</v>
      </c>
    </row>
    <row r="5" spans="1:32" s="39" customFormat="1" ht="15" customHeight="1" x14ac:dyDescent="0.35">
      <c r="A5" s="69"/>
      <c r="B5" s="20"/>
      <c r="C5" s="20"/>
      <c r="D5" s="26"/>
      <c r="E5" s="26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  <c r="Q5" s="26"/>
      <c r="R5" s="27"/>
      <c r="S5" s="26"/>
      <c r="T5" s="26"/>
      <c r="U5" s="26"/>
      <c r="V5" s="26"/>
      <c r="W5" s="27"/>
      <c r="X5" s="26"/>
      <c r="Y5" s="26"/>
      <c r="Z5" s="26"/>
      <c r="AA5" s="26"/>
      <c r="AB5" s="27"/>
      <c r="AC5" s="26"/>
      <c r="AD5" s="26"/>
    </row>
    <row r="6" spans="1:32" x14ac:dyDescent="0.35">
      <c r="A6" s="70" t="s">
        <v>56</v>
      </c>
      <c r="B6" s="71"/>
      <c r="C6" s="71"/>
      <c r="D6" s="30">
        <v>4339.3636971977166</v>
      </c>
      <c r="E6" s="30">
        <v>4247.4584447060142</v>
      </c>
      <c r="F6" s="30">
        <v>4144.7659069943602</v>
      </c>
      <c r="G6" s="30">
        <v>4040.1036528178447</v>
      </c>
      <c r="H6" s="31">
        <f>SUM(D6:G6)</f>
        <v>16771.691701715936</v>
      </c>
      <c r="I6" s="30">
        <v>3943.7424518854104</v>
      </c>
      <c r="J6" s="30">
        <v>4068.2263248774025</v>
      </c>
      <c r="K6" s="32">
        <v>4269.4679052867323</v>
      </c>
      <c r="L6" s="32">
        <v>4243.4783997948507</v>
      </c>
      <c r="M6" s="72">
        <f>SUM(I6:L6)</f>
        <v>16524.915081844396</v>
      </c>
      <c r="N6" s="32">
        <v>4168.6243184362011</v>
      </c>
      <c r="O6" s="32">
        <v>4272.7513014138713</v>
      </c>
      <c r="P6" s="32">
        <v>4228.7250400050034</v>
      </c>
      <c r="Q6" s="32">
        <v>4397.8862994167848</v>
      </c>
      <c r="R6" s="72">
        <f>SUM(N6:Q6)</f>
        <v>17067.986959271861</v>
      </c>
      <c r="S6" s="32">
        <v>4402.9386787235062</v>
      </c>
      <c r="T6" s="32">
        <v>4401.0770534851426</v>
      </c>
      <c r="U6" s="32">
        <v>4222.8391350440907</v>
      </c>
      <c r="V6" s="32">
        <v>4073.2492966404679</v>
      </c>
      <c r="W6" s="72">
        <f>SUM(S6:V6)</f>
        <v>17100.104163893207</v>
      </c>
      <c r="X6" s="32">
        <v>4102.7895864229822</v>
      </c>
      <c r="Y6" s="32">
        <v>4174.0216944030171</v>
      </c>
      <c r="Z6" s="32">
        <v>4184.8844854629988</v>
      </c>
      <c r="AA6" s="32">
        <v>4263.0365853610001</v>
      </c>
      <c r="AB6" s="72">
        <f>SUM(X6:AA6)</f>
        <v>16724.732351649996</v>
      </c>
      <c r="AC6" s="32">
        <v>4310.5234916639838</v>
      </c>
      <c r="AD6" s="32">
        <v>4430.7379621741047</v>
      </c>
    </row>
    <row r="7" spans="1:32" x14ac:dyDescent="0.35">
      <c r="A7" s="70" t="s">
        <v>57</v>
      </c>
      <c r="B7" s="71"/>
      <c r="C7" s="71"/>
      <c r="D7" s="30">
        <v>2118.7663149609439</v>
      </c>
      <c r="E7" s="30">
        <v>2130.8692411221496</v>
      </c>
      <c r="F7" s="30">
        <v>2151.8321157559831</v>
      </c>
      <c r="G7" s="30">
        <v>2133.6939564668482</v>
      </c>
      <c r="H7" s="31">
        <f t="shared" ref="H7:H16" si="0">SUM(D7:G7)</f>
        <v>8535.1616283059248</v>
      </c>
      <c r="I7" s="30">
        <v>2096.7926827735819</v>
      </c>
      <c r="J7" s="30">
        <v>2221.43366801101</v>
      </c>
      <c r="K7" s="32">
        <v>2363.0573888015251</v>
      </c>
      <c r="L7" s="32">
        <v>2428.7976310036647</v>
      </c>
      <c r="M7" s="72">
        <f t="shared" ref="M7:M17" si="1">SUM(I7:L7)</f>
        <v>9110.0813705897817</v>
      </c>
      <c r="N7" s="32">
        <v>2328.5929865184366</v>
      </c>
      <c r="O7" s="32">
        <v>2367.9319975897038</v>
      </c>
      <c r="P7" s="32">
        <v>2301.0775931301314</v>
      </c>
      <c r="Q7" s="32">
        <v>2449.6407786713071</v>
      </c>
      <c r="R7" s="72">
        <f t="shared" ref="R7:R17" si="2">SUM(N7:Q7)</f>
        <v>9447.2433559095789</v>
      </c>
      <c r="S7" s="32">
        <v>2449.3693987228949</v>
      </c>
      <c r="T7" s="32">
        <v>2523.4393920626931</v>
      </c>
      <c r="U7" s="32">
        <v>2472.6290090852372</v>
      </c>
      <c r="V7" s="32">
        <v>2473.7369174371988</v>
      </c>
      <c r="W7" s="72">
        <f t="shared" ref="W7:W17" si="3">SUM(S7:V7)</f>
        <v>9919.1747173080239</v>
      </c>
      <c r="X7" s="32">
        <v>2362.2910126537495</v>
      </c>
      <c r="Y7" s="32">
        <v>2425.6033802491406</v>
      </c>
      <c r="Z7" s="32">
        <v>2504.9232536712689</v>
      </c>
      <c r="AA7" s="32">
        <v>2578.784126462629</v>
      </c>
      <c r="AB7" s="72">
        <f t="shared" ref="AB7:AB17" si="4">SUM(X7:AA7)</f>
        <v>9871.6017730367876</v>
      </c>
      <c r="AC7" s="32">
        <v>2618.9034840051795</v>
      </c>
      <c r="AD7" s="32">
        <v>2712.192425759124</v>
      </c>
      <c r="AE7" s="147"/>
      <c r="AF7" s="147"/>
    </row>
    <row r="8" spans="1:32" x14ac:dyDescent="0.35">
      <c r="A8" s="70" t="s">
        <v>58</v>
      </c>
      <c r="B8" s="71"/>
      <c r="C8" s="71"/>
      <c r="D8" s="73">
        <v>588.0699613455829</v>
      </c>
      <c r="E8" s="73">
        <v>594.14772965377983</v>
      </c>
      <c r="F8" s="73">
        <v>643.02051522341617</v>
      </c>
      <c r="G8" s="73">
        <v>586.98554226032775</v>
      </c>
      <c r="H8" s="74">
        <f t="shared" si="0"/>
        <v>2412.2237484831066</v>
      </c>
      <c r="I8" s="73">
        <v>586.85751142407616</v>
      </c>
      <c r="J8" s="73">
        <v>630.16495563166291</v>
      </c>
      <c r="K8" s="75">
        <v>842.56932632018652</v>
      </c>
      <c r="L8" s="75">
        <v>685.26500570008011</v>
      </c>
      <c r="M8" s="76">
        <f t="shared" si="1"/>
        <v>2744.8567990760057</v>
      </c>
      <c r="N8" s="75">
        <v>825.64076114654472</v>
      </c>
      <c r="O8" s="75">
        <v>833.65714992313588</v>
      </c>
      <c r="P8" s="75">
        <v>760.80465006182112</v>
      </c>
      <c r="Q8" s="75">
        <v>868.8375266608582</v>
      </c>
      <c r="R8" s="77">
        <f t="shared" si="2"/>
        <v>3288.9400877923599</v>
      </c>
      <c r="S8" s="75">
        <v>1041.7517882738532</v>
      </c>
      <c r="T8" s="75">
        <v>1157.5382117261477</v>
      </c>
      <c r="U8" s="75">
        <v>1046.111633739215</v>
      </c>
      <c r="V8" s="75">
        <v>1015.1822278267464</v>
      </c>
      <c r="W8" s="77">
        <f t="shared" si="3"/>
        <v>4260.5838615659623</v>
      </c>
      <c r="X8" s="75">
        <v>986.06423065178888</v>
      </c>
      <c r="Y8" s="75">
        <v>1112.8614119000677</v>
      </c>
      <c r="Z8" s="75">
        <v>1082.4726894892474</v>
      </c>
      <c r="AA8" s="75">
        <v>1045.3274292355545</v>
      </c>
      <c r="AB8" s="77">
        <f>SUM(X8:AA8)</f>
        <v>4226.7257612766589</v>
      </c>
      <c r="AC8" s="75">
        <v>1077.0274840828072</v>
      </c>
      <c r="AD8" s="75">
        <v>1129.6275354033633</v>
      </c>
    </row>
    <row r="9" spans="1:32" s="28" customFormat="1" x14ac:dyDescent="0.35">
      <c r="A9" s="70" t="s">
        <v>38</v>
      </c>
      <c r="D9" s="46">
        <f t="shared" ref="D9:T9" si="5">D8/D6</f>
        <v>0.13551986014109579</v>
      </c>
      <c r="E9" s="46">
        <f t="shared" si="5"/>
        <v>0.1398831177252173</v>
      </c>
      <c r="F9" s="46">
        <f t="shared" si="5"/>
        <v>0.1551403697222824</v>
      </c>
      <c r="G9" s="46">
        <f t="shared" si="5"/>
        <v>0.14528972340868629</v>
      </c>
      <c r="H9" s="47">
        <f t="shared" si="5"/>
        <v>0.14382709814754754</v>
      </c>
      <c r="I9" s="46">
        <f t="shared" si="5"/>
        <v>0.14880726076407788</v>
      </c>
      <c r="J9" s="46">
        <f t="shared" si="5"/>
        <v>0.1548991883214986</v>
      </c>
      <c r="K9" s="46">
        <f t="shared" si="5"/>
        <v>0.19734761919087446</v>
      </c>
      <c r="L9" s="46">
        <f t="shared" si="5"/>
        <v>0.16148662515478079</v>
      </c>
      <c r="M9" s="47">
        <f t="shared" si="5"/>
        <v>0.16610413944527477</v>
      </c>
      <c r="N9" s="46">
        <f t="shared" si="5"/>
        <v>0.19806072653154599</v>
      </c>
      <c r="O9" s="46">
        <f t="shared" si="5"/>
        <v>0.19511015060653664</v>
      </c>
      <c r="P9" s="46">
        <f t="shared" si="5"/>
        <v>0.17991348287353318</v>
      </c>
      <c r="Q9" s="46">
        <f t="shared" si="5"/>
        <v>0.19755797842615372</v>
      </c>
      <c r="R9" s="47">
        <f t="shared" si="5"/>
        <v>0.19269642610112878</v>
      </c>
      <c r="S9" s="46">
        <f t="shared" si="5"/>
        <v>0.23660374679028609</v>
      </c>
      <c r="T9" s="46">
        <f t="shared" si="5"/>
        <v>0.26301248482107614</v>
      </c>
      <c r="U9" s="46">
        <f>U8/U6</f>
        <v>0.24772708603977939</v>
      </c>
      <c r="V9" s="46">
        <f>V8/V6</f>
        <v>0.24923154805772574</v>
      </c>
      <c r="W9" s="47">
        <f t="shared" ref="W9" si="6">W8/W6</f>
        <v>0.24915543324947492</v>
      </c>
      <c r="X9" s="46">
        <f>X8/X6</f>
        <v>0.24033994673158199</v>
      </c>
      <c r="Y9" s="46">
        <f>Y8/Y6</f>
        <v>0.26661610633033206</v>
      </c>
      <c r="Z9" s="46">
        <f>Z8/Z6</f>
        <v>0.258662501497813</v>
      </c>
      <c r="AA9" s="46">
        <f t="shared" ref="AA9:AB9" si="7">AA8/AA6</f>
        <v>0.24520723862073884</v>
      </c>
      <c r="AB9" s="47">
        <f t="shared" si="7"/>
        <v>0.2527230733746042</v>
      </c>
      <c r="AC9" s="46">
        <f>AC8/AC6</f>
        <v>0.24986001959289733</v>
      </c>
      <c r="AD9" s="46">
        <f t="shared" ref="AD9" si="8">AD8/AD6</f>
        <v>0.25495245826929241</v>
      </c>
    </row>
    <row r="10" spans="1:32" x14ac:dyDescent="0.35">
      <c r="A10" s="70" t="s">
        <v>59</v>
      </c>
      <c r="B10" s="71"/>
      <c r="C10" s="71"/>
      <c r="D10" s="30">
        <v>444.64809041836702</v>
      </c>
      <c r="E10" s="30">
        <v>483.68796070596392</v>
      </c>
      <c r="F10" s="30">
        <v>472.81193362200565</v>
      </c>
      <c r="G10" s="30">
        <v>505.14750905716119</v>
      </c>
      <c r="H10" s="31">
        <f t="shared" si="0"/>
        <v>1906.2954938034977</v>
      </c>
      <c r="I10" s="30">
        <v>484.87368104913492</v>
      </c>
      <c r="J10" s="30">
        <v>500.59084091202641</v>
      </c>
      <c r="K10" s="32">
        <v>523.47381266753359</v>
      </c>
      <c r="L10" s="32">
        <v>558.66210065094947</v>
      </c>
      <c r="M10" s="78">
        <f t="shared" si="1"/>
        <v>2067.6004352796444</v>
      </c>
      <c r="N10" s="32">
        <v>552.15188265968186</v>
      </c>
      <c r="O10" s="32">
        <v>558.33848218118078</v>
      </c>
      <c r="P10" s="32">
        <v>560.50862887719222</v>
      </c>
      <c r="Q10" s="32">
        <v>686.71632827041867</v>
      </c>
      <c r="R10" s="72">
        <f t="shared" si="2"/>
        <v>2357.7153219884735</v>
      </c>
      <c r="S10" s="32">
        <v>589.92706039949996</v>
      </c>
      <c r="T10" s="32">
        <v>571.9349492538455</v>
      </c>
      <c r="U10" s="32">
        <v>556.97538234776471</v>
      </c>
      <c r="V10" s="32">
        <v>595.03393618227915</v>
      </c>
      <c r="W10" s="72">
        <f t="shared" si="3"/>
        <v>2313.8713281833893</v>
      </c>
      <c r="X10" s="32">
        <f t="shared" ref="X10:AA10" si="9">X8-X11</f>
        <v>531.75985395788234</v>
      </c>
      <c r="Y10" s="32">
        <f t="shared" si="9"/>
        <v>541.59541359506738</v>
      </c>
      <c r="Z10" s="32">
        <f t="shared" si="9"/>
        <v>542.46857396796179</v>
      </c>
      <c r="AA10" s="32">
        <f t="shared" si="9"/>
        <v>588.71177303101331</v>
      </c>
      <c r="AB10" s="72">
        <f t="shared" si="4"/>
        <v>2204.5356145519249</v>
      </c>
      <c r="AC10" s="32">
        <f>AC8-AC11</f>
        <v>536.86482509609721</v>
      </c>
      <c r="AD10" s="32">
        <f t="shared" ref="AD10" si="10">AD8-AD11</f>
        <v>551.62826165846604</v>
      </c>
    </row>
    <row r="11" spans="1:32" x14ac:dyDescent="0.35">
      <c r="A11" s="70" t="s">
        <v>60</v>
      </c>
      <c r="B11" s="71"/>
      <c r="C11" s="71"/>
      <c r="D11" s="30">
        <v>143.42187092721593</v>
      </c>
      <c r="E11" s="30">
        <v>110.45976894781589</v>
      </c>
      <c r="F11" s="30">
        <v>170.20858160141051</v>
      </c>
      <c r="G11" s="30">
        <v>81.83803320316656</v>
      </c>
      <c r="H11" s="31">
        <f t="shared" si="0"/>
        <v>505.92825467960893</v>
      </c>
      <c r="I11" s="30">
        <v>101.98383037494122</v>
      </c>
      <c r="J11" s="30">
        <v>129.5741147196365</v>
      </c>
      <c r="K11" s="32">
        <v>319.09551365265293</v>
      </c>
      <c r="L11" s="32">
        <v>126.60290504913064</v>
      </c>
      <c r="M11" s="78">
        <f t="shared" si="1"/>
        <v>677.25636379636126</v>
      </c>
      <c r="N11" s="32">
        <v>273.48887848686286</v>
      </c>
      <c r="O11" s="32">
        <v>275.3186677419551</v>
      </c>
      <c r="P11" s="32">
        <v>200.2960211846289</v>
      </c>
      <c r="Q11" s="32">
        <v>182.12119839043953</v>
      </c>
      <c r="R11" s="78">
        <f t="shared" si="2"/>
        <v>931.22476580388638</v>
      </c>
      <c r="S11" s="32">
        <v>451.82472787435324</v>
      </c>
      <c r="T11" s="32">
        <v>585.60326247230239</v>
      </c>
      <c r="U11" s="32">
        <v>489.13625139145006</v>
      </c>
      <c r="V11" s="32">
        <v>420.14829164446769</v>
      </c>
      <c r="W11" s="78">
        <f t="shared" si="3"/>
        <v>1946.7125333825734</v>
      </c>
      <c r="X11" s="32">
        <v>454.30437669390659</v>
      </c>
      <c r="Y11" s="32">
        <v>571.26599830500027</v>
      </c>
      <c r="Z11" s="32">
        <v>540.0041155212856</v>
      </c>
      <c r="AA11" s="32">
        <v>456.61565620454115</v>
      </c>
      <c r="AB11" s="78">
        <f t="shared" si="4"/>
        <v>2022.1901467247335</v>
      </c>
      <c r="AC11" s="32">
        <v>540.16265898670997</v>
      </c>
      <c r="AD11" s="32">
        <v>577.99927374489721</v>
      </c>
    </row>
    <row r="12" spans="1:32" x14ac:dyDescent="0.35">
      <c r="A12" s="70" t="s">
        <v>61</v>
      </c>
      <c r="B12" s="71"/>
      <c r="C12" s="71"/>
      <c r="D12" s="32">
        <v>-14.9442619025321</v>
      </c>
      <c r="E12" s="32">
        <v>0.60740184335140801</v>
      </c>
      <c r="F12" s="32">
        <v>-43.881020767432403</v>
      </c>
      <c r="G12" s="32">
        <v>-201.44265813141101</v>
      </c>
      <c r="H12" s="53">
        <f>SUM(D12:G12)</f>
        <v>-259.66053895802412</v>
      </c>
      <c r="I12" s="32">
        <v>7.02322983889289</v>
      </c>
      <c r="J12" s="32">
        <v>-8.6287510923935695</v>
      </c>
      <c r="K12" s="32">
        <v>-19.095346946499301</v>
      </c>
      <c r="L12" s="32">
        <v>-39.559325600000001</v>
      </c>
      <c r="M12" s="72">
        <f t="shared" si="1"/>
        <v>-60.260193799999982</v>
      </c>
      <c r="N12" s="32">
        <v>-8.8439613179999998</v>
      </c>
      <c r="O12" s="32">
        <v>-9.5883688609999993</v>
      </c>
      <c r="P12" s="32">
        <v>-13.926211133000001</v>
      </c>
      <c r="Q12" s="32">
        <v>-37.319819367999997</v>
      </c>
      <c r="R12" s="72">
        <f t="shared" si="2"/>
        <v>-69.678360679999997</v>
      </c>
      <c r="S12" s="32">
        <v>-14.740126695334709</v>
      </c>
      <c r="T12" s="32">
        <v>-76.104721740000912</v>
      </c>
      <c r="U12" s="32">
        <v>-8.2178961739413836</v>
      </c>
      <c r="V12" s="32">
        <v>-57.699163890722964</v>
      </c>
      <c r="W12" s="72">
        <f t="shared" si="3"/>
        <v>-156.76190849999998</v>
      </c>
      <c r="X12" s="32">
        <v>-13.345707741348669</v>
      </c>
      <c r="Y12" s="32">
        <v>-36.427846174651343</v>
      </c>
      <c r="Z12" s="32">
        <v>-18.796327561999998</v>
      </c>
      <c r="AA12" s="32">
        <v>-263.52017618640195</v>
      </c>
      <c r="AB12" s="72">
        <f t="shared" si="4"/>
        <v>-332.09005766440197</v>
      </c>
      <c r="AC12" s="32">
        <v>-233.98540362463339</v>
      </c>
      <c r="AD12" s="32">
        <v>-36.621913392239165</v>
      </c>
    </row>
    <row r="13" spans="1:32" x14ac:dyDescent="0.35">
      <c r="A13" s="70" t="s">
        <v>62</v>
      </c>
      <c r="B13" s="71"/>
      <c r="C13" s="71"/>
      <c r="D13" s="32">
        <v>76.128585226746836</v>
      </c>
      <c r="E13" s="32">
        <v>87.651379352698754</v>
      </c>
      <c r="F13" s="32">
        <v>89.628014843903799</v>
      </c>
      <c r="G13" s="32">
        <v>91.035747567797785</v>
      </c>
      <c r="H13" s="31">
        <f t="shared" si="0"/>
        <v>344.44372699114717</v>
      </c>
      <c r="I13" s="32">
        <v>90.850249664272226</v>
      </c>
      <c r="J13" s="32">
        <v>97.852232676970502</v>
      </c>
      <c r="K13" s="32">
        <v>103.99471465875727</v>
      </c>
      <c r="L13" s="32">
        <v>103.85358880000001</v>
      </c>
      <c r="M13" s="72">
        <f t="shared" si="1"/>
        <v>396.55078580000003</v>
      </c>
      <c r="N13" s="32">
        <v>115.7360158</v>
      </c>
      <c r="O13" s="32">
        <v>115.71366829999998</v>
      </c>
      <c r="P13" s="32">
        <v>116.12178309999999</v>
      </c>
      <c r="Q13" s="32">
        <v>123.17083659999997</v>
      </c>
      <c r="R13" s="72">
        <f t="shared" si="2"/>
        <v>470.74230379999995</v>
      </c>
      <c r="S13" s="32">
        <v>116.2889495</v>
      </c>
      <c r="T13" s="32">
        <v>106.41048860000001</v>
      </c>
      <c r="U13" s="32">
        <v>104.42938930000003</v>
      </c>
      <c r="V13" s="32">
        <v>93.069655699999942</v>
      </c>
      <c r="W13" s="72">
        <f t="shared" si="3"/>
        <v>420.19848309999998</v>
      </c>
      <c r="X13" s="32">
        <v>96.207348144032679</v>
      </c>
      <c r="Y13" s="32">
        <v>90.818950057967314</v>
      </c>
      <c r="Z13" s="32">
        <v>83.452519875999968</v>
      </c>
      <c r="AA13" s="32">
        <v>89.774658882310007</v>
      </c>
      <c r="AB13" s="72">
        <f t="shared" si="4"/>
        <v>360.25347696030997</v>
      </c>
      <c r="AC13" s="32">
        <v>79.897305415510573</v>
      </c>
      <c r="AD13" s="32">
        <v>97.779410021662159</v>
      </c>
    </row>
    <row r="14" spans="1:32" x14ac:dyDescent="0.35">
      <c r="A14" s="70" t="s">
        <v>63</v>
      </c>
      <c r="B14" s="71"/>
      <c r="C14" s="71"/>
      <c r="D14" s="32">
        <v>0</v>
      </c>
      <c r="E14" s="32">
        <v>213.41262718799999</v>
      </c>
      <c r="F14" s="32">
        <v>1.2499998547355099E-7</v>
      </c>
      <c r="G14" s="32">
        <v>162.113510250747</v>
      </c>
      <c r="H14" s="31">
        <f t="shared" si="0"/>
        <v>375.52613756374694</v>
      </c>
      <c r="I14" s="32">
        <v>-4.0000000000000001E-8</v>
      </c>
      <c r="J14" s="32">
        <v>-1.5673832272866901</v>
      </c>
      <c r="K14" s="32">
        <v>-9.3353032713307402E-2</v>
      </c>
      <c r="L14" s="32">
        <v>-0.57525490000000001</v>
      </c>
      <c r="M14" s="72">
        <f t="shared" si="1"/>
        <v>-2.2359911999999973</v>
      </c>
      <c r="N14" s="32">
        <v>6.4822508000000001</v>
      </c>
      <c r="O14" s="32">
        <v>5.9634324000000003</v>
      </c>
      <c r="P14" s="32">
        <v>0</v>
      </c>
      <c r="Q14" s="32">
        <v>378.11907954600002</v>
      </c>
      <c r="R14" s="72">
        <f t="shared" si="2"/>
        <v>390.56476274600004</v>
      </c>
      <c r="S14" s="32">
        <v>10.4930526</v>
      </c>
      <c r="T14" s="32">
        <v>53.942714717000001</v>
      </c>
      <c r="U14" s="32">
        <v>11.434305239000011</v>
      </c>
      <c r="V14" s="32">
        <v>-1.1485317560000112</v>
      </c>
      <c r="W14" s="72">
        <f t="shared" si="3"/>
        <v>74.7215408</v>
      </c>
      <c r="X14" s="32">
        <v>-5.6243320399500005</v>
      </c>
      <c r="Y14" s="32">
        <v>-12.740559824049996</v>
      </c>
      <c r="Z14" s="32">
        <v>-8.4840696320000077</v>
      </c>
      <c r="AA14" s="32">
        <v>20.892530046000005</v>
      </c>
      <c r="AB14" s="72">
        <f t="shared" si="4"/>
        <v>-5.9564314500000002</v>
      </c>
      <c r="AC14" s="32">
        <v>1.1641532182693481E-17</v>
      </c>
      <c r="AD14" s="32">
        <v>-76.350544078680002</v>
      </c>
    </row>
    <row r="15" spans="1:32" x14ac:dyDescent="0.35">
      <c r="A15" s="70" t="s">
        <v>64</v>
      </c>
      <c r="B15" s="71"/>
      <c r="C15" s="71"/>
      <c r="D15" s="79">
        <f t="shared" ref="D15:T15" si="11">D11-SUM(D12:D14)</f>
        <v>82.23754760300119</v>
      </c>
      <c r="E15" s="80">
        <f t="shared" si="11"/>
        <v>-191.21163943623426</v>
      </c>
      <c r="F15" s="80">
        <f t="shared" si="11"/>
        <v>124.46158739993913</v>
      </c>
      <c r="G15" s="80">
        <f t="shared" si="11"/>
        <v>30.131433516032786</v>
      </c>
      <c r="H15" s="31">
        <f t="shared" si="0"/>
        <v>45.618929082738845</v>
      </c>
      <c r="I15" s="79">
        <f t="shared" si="11"/>
        <v>4.1103509117761092</v>
      </c>
      <c r="J15" s="79">
        <f t="shared" si="11"/>
        <v>41.918016362346251</v>
      </c>
      <c r="K15" s="81">
        <f t="shared" si="11"/>
        <v>234.28949897310827</v>
      </c>
      <c r="L15" s="32">
        <f t="shared" si="11"/>
        <v>62.883896749130621</v>
      </c>
      <c r="M15" s="78">
        <f t="shared" si="1"/>
        <v>343.20176299636125</v>
      </c>
      <c r="N15" s="32">
        <f t="shared" si="11"/>
        <v>160.11457320486284</v>
      </c>
      <c r="O15" s="32">
        <f t="shared" si="11"/>
        <v>163.22993590295511</v>
      </c>
      <c r="P15" s="32">
        <f t="shared" si="11"/>
        <v>98.100449217628906</v>
      </c>
      <c r="Q15" s="32">
        <f t="shared" si="11"/>
        <v>-281.84889838756044</v>
      </c>
      <c r="R15" s="72">
        <f t="shared" si="2"/>
        <v>139.59605993788642</v>
      </c>
      <c r="S15" s="32">
        <f t="shared" si="11"/>
        <v>339.78285246968795</v>
      </c>
      <c r="T15" s="32">
        <f t="shared" si="11"/>
        <v>501.35478089530329</v>
      </c>
      <c r="U15" s="32">
        <f>U11-SUM(U12:U14)</f>
        <v>381.49045302639138</v>
      </c>
      <c r="V15" s="32">
        <f>V11-SUM(V12:V14)</f>
        <v>385.92633159119072</v>
      </c>
      <c r="W15" s="72">
        <f t="shared" si="3"/>
        <v>1608.5544179825733</v>
      </c>
      <c r="X15" s="32">
        <f>X11-SUM(X12:X14)</f>
        <v>377.06706833117261</v>
      </c>
      <c r="Y15" s="32">
        <f>Y11-SUM(Y12:Y14)</f>
        <v>529.61545424573433</v>
      </c>
      <c r="Z15" s="32">
        <f>Z11-SUM(Z12:Z14)</f>
        <v>483.83199283928565</v>
      </c>
      <c r="AA15" s="32">
        <f t="shared" ref="AA15" si="12">AA11-SUM(AA12:AA14)</f>
        <v>609.46864346263305</v>
      </c>
      <c r="AB15" s="72">
        <f t="shared" si="4"/>
        <v>1999.9831588788256</v>
      </c>
      <c r="AC15" s="32">
        <f>AC11-SUM(AC12:AC14)</f>
        <v>694.25075719583276</v>
      </c>
      <c r="AD15" s="32">
        <f t="shared" ref="AD15" si="13">AD11-SUM(AD12:AD14)</f>
        <v>593.19232119415426</v>
      </c>
    </row>
    <row r="16" spans="1:32" x14ac:dyDescent="0.35">
      <c r="A16" s="70" t="s">
        <v>65</v>
      </c>
      <c r="B16" s="71"/>
      <c r="C16" s="71"/>
      <c r="D16" s="30">
        <v>46.068881129394498</v>
      </c>
      <c r="E16" s="30">
        <v>58.801272178684698</v>
      </c>
      <c r="F16" s="30">
        <v>104.99717238863761</v>
      </c>
      <c r="G16" s="30">
        <v>145.05818530138981</v>
      </c>
      <c r="H16" s="31">
        <f t="shared" si="0"/>
        <v>354.92551099810663</v>
      </c>
      <c r="I16" s="30">
        <v>64.139086343341432</v>
      </c>
      <c r="J16" s="30">
        <v>41.774000413684973</v>
      </c>
      <c r="K16" s="32">
        <v>66.721969742973585</v>
      </c>
      <c r="L16" s="32">
        <v>100.67687190000001</v>
      </c>
      <c r="M16" s="72">
        <f t="shared" si="1"/>
        <v>273.3119284</v>
      </c>
      <c r="N16" s="32">
        <v>85.240310600000015</v>
      </c>
      <c r="O16" s="32">
        <v>110.72300079999997</v>
      </c>
      <c r="P16" s="32">
        <v>40.547635300000024</v>
      </c>
      <c r="Q16" s="32">
        <v>-9.8363001999999824</v>
      </c>
      <c r="R16" s="72">
        <f t="shared" si="2"/>
        <v>226.67464650000002</v>
      </c>
      <c r="S16" s="32">
        <v>81.211322600000017</v>
      </c>
      <c r="T16" s="32">
        <v>115.33733219999999</v>
      </c>
      <c r="U16" s="32">
        <v>71.122587099999976</v>
      </c>
      <c r="V16" s="32">
        <v>87.221699200000046</v>
      </c>
      <c r="W16" s="72">
        <f t="shared" si="3"/>
        <v>354.89294110000003</v>
      </c>
      <c r="X16" s="32">
        <v>79.266154163074674</v>
      </c>
      <c r="Y16" s="32">
        <v>103.78356950492534</v>
      </c>
      <c r="Z16" s="32">
        <v>95.802613570999995</v>
      </c>
      <c r="AA16" s="32">
        <v>243.27485525682255</v>
      </c>
      <c r="AB16" s="72">
        <f t="shared" si="4"/>
        <v>522.12719249582256</v>
      </c>
      <c r="AC16" s="32">
        <v>159.13524409998018</v>
      </c>
      <c r="AD16" s="32">
        <v>65.853758353280256</v>
      </c>
    </row>
    <row r="17" spans="1:30" ht="15" thickBot="1" x14ac:dyDescent="0.4">
      <c r="A17" s="70" t="s">
        <v>66</v>
      </c>
      <c r="B17" s="71"/>
      <c r="C17" s="71"/>
      <c r="D17" s="82">
        <v>32.259313604143443</v>
      </c>
      <c r="E17" s="82">
        <v>-250.1267088050341</v>
      </c>
      <c r="F17" s="82">
        <v>10.215847954802966</v>
      </c>
      <c r="G17" s="82">
        <v>-120.9524992603543</v>
      </c>
      <c r="H17" s="83">
        <f>SUM(D17:G17)</f>
        <v>-328.60404650644199</v>
      </c>
      <c r="I17" s="82">
        <v>-58.496865347048541</v>
      </c>
      <c r="J17" s="82">
        <v>1.6327212794079848</v>
      </c>
      <c r="K17" s="84">
        <v>173.31852271487116</v>
      </c>
      <c r="L17" s="84">
        <v>-198.80940115086941</v>
      </c>
      <c r="M17" s="85">
        <f t="shared" si="1"/>
        <v>-82.355022503638793</v>
      </c>
      <c r="N17" s="84">
        <v>76.628710004862825</v>
      </c>
      <c r="O17" s="84">
        <v>53.895959102955139</v>
      </c>
      <c r="P17" s="84">
        <v>58.530065717628872</v>
      </c>
      <c r="Q17" s="84">
        <v>-275.04692208756052</v>
      </c>
      <c r="R17" s="85">
        <f t="shared" si="2"/>
        <v>-85.992187262113674</v>
      </c>
      <c r="S17" s="84">
        <v>257.79197126968609</v>
      </c>
      <c r="T17" s="84">
        <v>384.48941474538128</v>
      </c>
      <c r="U17" s="84">
        <v>309.16671297631387</v>
      </c>
      <c r="V17" s="84">
        <v>299.1876559911899</v>
      </c>
      <c r="W17" s="85">
        <f t="shared" si="3"/>
        <v>1250.6357549825711</v>
      </c>
      <c r="X17" s="84">
        <v>296.12381915711262</v>
      </c>
      <c r="Y17" s="84">
        <v>425.41327614979429</v>
      </c>
      <c r="Z17" s="84">
        <v>395.1789038522856</v>
      </c>
      <c r="AA17" s="84">
        <v>365.0473526746905</v>
      </c>
      <c r="AB17" s="85">
        <f t="shared" si="4"/>
        <v>1481.763351833883</v>
      </c>
      <c r="AC17" s="148">
        <v>543.76274956811926</v>
      </c>
      <c r="AD17" s="84">
        <v>532.2909742149767</v>
      </c>
    </row>
    <row r="18" spans="1:30" ht="4.5" customHeight="1" x14ac:dyDescent="0.35">
      <c r="A18" s="70"/>
      <c r="B18" s="71"/>
      <c r="C18" s="71"/>
      <c r="D18" s="30"/>
      <c r="E18" s="30"/>
      <c r="F18" s="30"/>
      <c r="G18" s="30"/>
      <c r="H18" s="31"/>
      <c r="I18" s="30"/>
      <c r="J18" s="30"/>
      <c r="K18" s="32"/>
      <c r="L18" s="32"/>
      <c r="M18" s="72"/>
      <c r="N18" s="32"/>
      <c r="O18" s="32"/>
      <c r="P18" s="32"/>
      <c r="Q18" s="32"/>
      <c r="R18" s="72"/>
      <c r="S18" s="32"/>
      <c r="T18" s="32"/>
      <c r="U18" s="32"/>
      <c r="V18" s="32"/>
      <c r="W18" s="72"/>
      <c r="X18" s="32"/>
      <c r="Y18" s="32"/>
      <c r="Z18" s="32"/>
      <c r="AA18" s="32"/>
      <c r="AB18" s="72"/>
      <c r="AC18" s="32"/>
      <c r="AD18" s="32"/>
    </row>
    <row r="19" spans="1:30" x14ac:dyDescent="0.35">
      <c r="A19" s="70" t="s">
        <v>67</v>
      </c>
      <c r="B19" s="71"/>
      <c r="C19" s="71"/>
      <c r="D19" s="32"/>
      <c r="E19" s="32"/>
      <c r="F19" s="32"/>
      <c r="G19" s="32"/>
      <c r="H19" s="72">
        <v>2107.3899999999994</v>
      </c>
      <c r="I19" s="32">
        <v>217.84258057069169</v>
      </c>
      <c r="J19" s="30">
        <v>343.44884445993682</v>
      </c>
      <c r="K19" s="32">
        <v>428.90223003746496</v>
      </c>
      <c r="L19" s="32">
        <v>851.07911228723879</v>
      </c>
      <c r="M19" s="72">
        <f t="shared" ref="M19:M21" si="14">SUM(I19:L19)</f>
        <v>1841.2727673553322</v>
      </c>
      <c r="N19" s="32">
        <v>304.38674995513861</v>
      </c>
      <c r="O19" s="32">
        <v>589.90405788346845</v>
      </c>
      <c r="P19" s="32">
        <v>595.16487368684</v>
      </c>
      <c r="Q19" s="32">
        <v>721.05677771243995</v>
      </c>
      <c r="R19" s="72">
        <f t="shared" ref="R19:R21" si="15">SUM(N19:Q19)</f>
        <v>2210.512459237887</v>
      </c>
      <c r="S19" s="32">
        <v>622.2388601065345</v>
      </c>
      <c r="T19" s="32">
        <v>633.89021896796089</v>
      </c>
      <c r="U19" s="32">
        <v>980.30523011895025</v>
      </c>
      <c r="V19" s="32">
        <v>573.52991860598922</v>
      </c>
      <c r="W19" s="72">
        <f t="shared" ref="W19:W21" si="16">SUM(S19:V19)</f>
        <v>2809.9642277994349</v>
      </c>
      <c r="X19" s="32">
        <v>443.56423944662185</v>
      </c>
      <c r="Y19" s="32">
        <v>1030.0998843193788</v>
      </c>
      <c r="Z19" s="32">
        <v>1118.9045966109989</v>
      </c>
      <c r="AA19" s="32">
        <v>1247.137590949505</v>
      </c>
      <c r="AB19" s="72">
        <f>SUM(X19:AA19)</f>
        <v>3839.7063113265044</v>
      </c>
      <c r="AC19" s="32">
        <v>1284.2223928196927</v>
      </c>
      <c r="AD19" s="32">
        <v>940.85048776202984</v>
      </c>
    </row>
    <row r="20" spans="1:30" x14ac:dyDescent="0.35">
      <c r="A20" s="70" t="s">
        <v>68</v>
      </c>
      <c r="B20" s="71"/>
      <c r="C20" s="71"/>
      <c r="D20" s="30"/>
      <c r="E20" s="30"/>
      <c r="F20" s="30"/>
      <c r="G20" s="30"/>
      <c r="H20" s="31">
        <v>1599.28</v>
      </c>
      <c r="I20" s="30">
        <v>440.35711961957395</v>
      </c>
      <c r="J20" s="30">
        <v>398.9628803804261</v>
      </c>
      <c r="K20" s="30">
        <v>605.60399780426781</v>
      </c>
      <c r="L20" s="30">
        <v>406.80649717476626</v>
      </c>
      <c r="M20" s="72">
        <f t="shared" si="14"/>
        <v>1851.7304949790341</v>
      </c>
      <c r="N20" s="32">
        <v>389.44</v>
      </c>
      <c r="O20" s="32">
        <v>405.91</v>
      </c>
      <c r="P20" s="32">
        <v>490.42999999999995</v>
      </c>
      <c r="Q20" s="32">
        <v>395.20000000000005</v>
      </c>
      <c r="R20" s="72">
        <f t="shared" si="15"/>
        <v>1680.98</v>
      </c>
      <c r="S20" s="32">
        <v>377.42</v>
      </c>
      <c r="T20" s="32">
        <v>278.03000000000003</v>
      </c>
      <c r="U20" s="32">
        <v>361.94999999999993</v>
      </c>
      <c r="V20" s="32">
        <v>346.23000000000013</v>
      </c>
      <c r="W20" s="72">
        <f t="shared" si="16"/>
        <v>1363.63</v>
      </c>
      <c r="X20" s="32">
        <v>341.06</v>
      </c>
      <c r="Y20" s="32">
        <v>363.36999999999995</v>
      </c>
      <c r="Z20" s="32">
        <v>452.38</v>
      </c>
      <c r="AA20" s="32">
        <v>499.62921610132253</v>
      </c>
      <c r="AB20" s="72">
        <f t="shared" ref="AB20" si="17">SUM(X20:AA20)</f>
        <v>1656.4392161013225</v>
      </c>
      <c r="AC20" s="32">
        <v>329.09742661777665</v>
      </c>
      <c r="AD20" s="32">
        <v>323.74257338222338</v>
      </c>
    </row>
    <row r="21" spans="1:30" x14ac:dyDescent="0.35">
      <c r="A21" s="70" t="s">
        <v>69</v>
      </c>
      <c r="B21" s="71"/>
      <c r="C21" s="71"/>
      <c r="D21" s="30"/>
      <c r="E21" s="30"/>
      <c r="F21" s="30"/>
      <c r="G21" s="30"/>
      <c r="H21" s="31">
        <f>H19-H20</f>
        <v>508.10999999999945</v>
      </c>
      <c r="I21" s="30">
        <f t="shared" ref="I21:L21" si="18">I19-I20</f>
        <v>-222.51453904888226</v>
      </c>
      <c r="J21" s="30">
        <f t="shared" si="18"/>
        <v>-55.514035920489277</v>
      </c>
      <c r="K21" s="30">
        <f t="shared" si="18"/>
        <v>-176.70176776680285</v>
      </c>
      <c r="L21" s="30">
        <f t="shared" si="18"/>
        <v>444.27261511247252</v>
      </c>
      <c r="M21" s="72">
        <f t="shared" si="14"/>
        <v>-10.457727623701885</v>
      </c>
      <c r="N21" s="30">
        <f t="shared" ref="N21:Q21" si="19">N19-N20</f>
        <v>-85.053250044861386</v>
      </c>
      <c r="O21" s="30">
        <f t="shared" si="19"/>
        <v>183.99405788346843</v>
      </c>
      <c r="P21" s="30">
        <f t="shared" si="19"/>
        <v>104.73487368684005</v>
      </c>
      <c r="Q21" s="30">
        <f t="shared" si="19"/>
        <v>325.85677771243991</v>
      </c>
      <c r="R21" s="72">
        <f t="shared" si="15"/>
        <v>529.532459237887</v>
      </c>
      <c r="S21" s="30">
        <f t="shared" ref="S21:V21" si="20">S19-S20</f>
        <v>244.81886010653449</v>
      </c>
      <c r="T21" s="30">
        <f t="shared" si="20"/>
        <v>355.86021896796086</v>
      </c>
      <c r="U21" s="30">
        <f t="shared" si="20"/>
        <v>618.35523011895032</v>
      </c>
      <c r="V21" s="30">
        <f t="shared" si="20"/>
        <v>227.29991860598909</v>
      </c>
      <c r="W21" s="72">
        <f t="shared" si="16"/>
        <v>1446.3342277994348</v>
      </c>
      <c r="X21" s="30">
        <f t="shared" ref="X21:AA21" si="21">X19-X20</f>
        <v>102.50423944662185</v>
      </c>
      <c r="Y21" s="30">
        <f t="shared" si="21"/>
        <v>666.72988431937893</v>
      </c>
      <c r="Z21" s="30">
        <f t="shared" si="21"/>
        <v>666.52459661099886</v>
      </c>
      <c r="AA21" s="30">
        <f t="shared" si="21"/>
        <v>747.50837484818248</v>
      </c>
      <c r="AB21" s="72">
        <f>SUM(X21:AA21)</f>
        <v>2183.2670952251819</v>
      </c>
      <c r="AC21" s="30">
        <f>AC19-AC20</f>
        <v>955.1249662019161</v>
      </c>
      <c r="AD21" s="30">
        <f>AD19-AD20</f>
        <v>617.10791437980652</v>
      </c>
    </row>
    <row r="22" spans="1:30" x14ac:dyDescent="0.35">
      <c r="W22" s="86"/>
      <c r="AB22" s="86"/>
    </row>
    <row r="24" spans="1:30" x14ac:dyDescent="0.35">
      <c r="A24" s="63"/>
    </row>
  </sheetData>
  <hyperlinks>
    <hyperlink ref="B1" location="Index!A1" display="Index" xr:uid="{702CC61C-9690-4801-8AA9-2763D20AD755}"/>
  </hyperlinks>
  <pageMargins left="0.7" right="0.7" top="0.75" bottom="0.75" header="0.3" footer="0.3"/>
  <headerFooter>
    <oddFooter>&amp;L_x000D_&amp;1#&amp;"Calibri"&amp;10&amp;K000000 Tata Communications -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BD1FE-DD66-46ED-AF81-AFF33EA9F81B}">
  <sheetPr codeName="Sheet4"/>
  <dimension ref="A1:AG33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 activeCell="AD11" sqref="AD11"/>
    </sheetView>
  </sheetViews>
  <sheetFormatPr defaultRowHeight="14.5" outlineLevelCol="1" x14ac:dyDescent="0.35"/>
  <cols>
    <col min="1" max="1" width="40.1796875" customWidth="1"/>
    <col min="2" max="2" width="5.7265625" customWidth="1"/>
    <col min="3" max="3" width="0.81640625" customWidth="1"/>
    <col min="4" max="7" width="9.1796875" style="16" hidden="1" customWidth="1" outlineLevel="1"/>
    <col min="8" max="8" width="8.7265625" style="17" collapsed="1"/>
    <col min="9" max="12" width="9.1796875" style="16" hidden="1" customWidth="1" outlineLevel="1"/>
    <col min="13" max="13" width="8.7265625" style="17" collapsed="1"/>
    <col min="14" max="17" width="9.1796875" style="16" hidden="1" customWidth="1" outlineLevel="1"/>
    <col min="18" max="18" width="8.7265625" style="17" collapsed="1"/>
    <col min="19" max="22" width="9.1796875" style="16" hidden="1" customWidth="1" outlineLevel="1"/>
    <col min="23" max="23" width="8.7265625" style="17" collapsed="1"/>
    <col min="24" max="27" width="9.1796875" style="16" hidden="1" customWidth="1" outlineLevel="1"/>
    <col min="28" max="28" width="8.7265625" style="17" collapsed="1"/>
    <col min="29" max="30" width="9.1796875" style="16" customWidth="1" outlineLevel="1"/>
  </cols>
  <sheetData>
    <row r="1" spans="1:33" ht="18.75" customHeight="1" x14ac:dyDescent="0.45">
      <c r="A1" s="13" t="s">
        <v>8</v>
      </c>
      <c r="B1" s="64" t="s">
        <v>9</v>
      </c>
      <c r="C1" s="65"/>
    </row>
    <row r="2" spans="1:33" ht="15.5" x14ac:dyDescent="0.35">
      <c r="A2" s="18" t="s">
        <v>70</v>
      </c>
      <c r="B2" s="18"/>
      <c r="C2" s="18"/>
    </row>
    <row r="3" spans="1:33" s="68" customFormat="1" ht="15.5" x14ac:dyDescent="0.35">
      <c r="A3" s="87"/>
      <c r="B3" s="87"/>
      <c r="C3" s="87"/>
      <c r="D3" s="29"/>
      <c r="E3" s="29"/>
      <c r="F3" s="29"/>
      <c r="G3" s="29"/>
      <c r="H3" s="67"/>
      <c r="I3" s="29"/>
      <c r="J3" s="29"/>
      <c r="K3" s="29"/>
      <c r="L3" s="29"/>
      <c r="M3" s="67"/>
      <c r="N3" s="29"/>
      <c r="O3" s="29"/>
      <c r="P3" s="29"/>
      <c r="Q3" s="29"/>
      <c r="R3" s="67"/>
      <c r="S3" s="88"/>
      <c r="T3" s="29"/>
      <c r="U3" s="29"/>
      <c r="V3" s="29"/>
      <c r="W3" s="67"/>
      <c r="X3" s="29"/>
      <c r="Y3" s="29"/>
      <c r="Z3" s="29"/>
      <c r="AA3" s="29"/>
      <c r="AB3" s="67"/>
      <c r="AC3" s="29"/>
      <c r="AD3" s="29"/>
    </row>
    <row r="4" spans="1:33" x14ac:dyDescent="0.35">
      <c r="A4" s="89" t="s">
        <v>11</v>
      </c>
      <c r="B4" s="20"/>
      <c r="C4" s="20"/>
      <c r="D4" s="22">
        <v>42916</v>
      </c>
      <c r="E4" s="22">
        <v>43008</v>
      </c>
      <c r="F4" s="22">
        <v>43100</v>
      </c>
      <c r="G4" s="22">
        <v>43190</v>
      </c>
      <c r="H4" s="23" t="s">
        <v>53</v>
      </c>
      <c r="I4" s="22">
        <v>43281</v>
      </c>
      <c r="J4" s="22">
        <v>43373</v>
      </c>
      <c r="K4" s="22">
        <v>43465</v>
      </c>
      <c r="L4" s="22">
        <v>43555</v>
      </c>
      <c r="M4" s="23" t="s">
        <v>54</v>
      </c>
      <c r="N4" s="22">
        <v>43646</v>
      </c>
      <c r="O4" s="22">
        <v>43738</v>
      </c>
      <c r="P4" s="22">
        <v>43830</v>
      </c>
      <c r="Q4" s="22">
        <v>43921</v>
      </c>
      <c r="R4" s="23" t="s">
        <v>55</v>
      </c>
      <c r="S4" s="22">
        <v>44012</v>
      </c>
      <c r="T4" s="22">
        <v>44104</v>
      </c>
      <c r="U4" s="22">
        <v>44196</v>
      </c>
      <c r="V4" s="22">
        <v>44286</v>
      </c>
      <c r="W4" s="23" t="s">
        <v>16</v>
      </c>
      <c r="X4" s="22">
        <v>44377</v>
      </c>
      <c r="Y4" s="22">
        <v>44469</v>
      </c>
      <c r="Z4" s="22">
        <v>44560</v>
      </c>
      <c r="AA4" s="22">
        <v>44650</v>
      </c>
      <c r="AB4" s="23" t="s">
        <v>17</v>
      </c>
      <c r="AC4" s="22">
        <v>44742</v>
      </c>
      <c r="AD4" s="22">
        <v>44834</v>
      </c>
    </row>
    <row r="5" spans="1:33" ht="15.5" x14ac:dyDescent="0.35">
      <c r="A5" s="90" t="s">
        <v>71</v>
      </c>
      <c r="B5" s="20"/>
      <c r="C5" s="20"/>
      <c r="D5" s="26"/>
      <c r="E5" s="26"/>
      <c r="F5" s="26"/>
      <c r="G5" s="26"/>
      <c r="H5" s="27"/>
      <c r="I5" s="26"/>
      <c r="J5" s="26"/>
      <c r="K5" s="26"/>
      <c r="L5" s="26"/>
      <c r="M5" s="27"/>
      <c r="N5" s="26"/>
      <c r="O5" s="26"/>
      <c r="P5" s="26"/>
      <c r="Q5" s="26"/>
      <c r="R5" s="27"/>
      <c r="S5" s="26"/>
      <c r="T5" s="26"/>
      <c r="U5" s="26"/>
      <c r="V5" s="26"/>
      <c r="W5" s="27"/>
      <c r="X5" s="26"/>
      <c r="Y5" s="26"/>
      <c r="Z5" s="26"/>
      <c r="AA5" s="26"/>
      <c r="AB5" s="27"/>
      <c r="AC5" s="26"/>
      <c r="AD5" s="26"/>
    </row>
    <row r="6" spans="1:33" x14ac:dyDescent="0.35">
      <c r="A6" s="70" t="s">
        <v>56</v>
      </c>
      <c r="B6" s="71"/>
      <c r="C6" s="71"/>
      <c r="D6" s="30">
        <f>2805.96276132543-D24</f>
        <v>2441.3843271800638</v>
      </c>
      <c r="E6" s="30">
        <f>2812.99049811382-E24</f>
        <v>2462.4972708958012</v>
      </c>
      <c r="F6" s="30">
        <f>2914.51633141288-F24</f>
        <v>2536.487114647749</v>
      </c>
      <c r="G6" s="30">
        <f>2926.87976349317-G24</f>
        <v>2534.2348912521234</v>
      </c>
      <c r="H6" s="31">
        <f>SUM(D6:G6)</f>
        <v>9974.6036039757364</v>
      </c>
      <c r="I6" s="30">
        <f>2916.95501315488-I24</f>
        <v>2545.768287388265</v>
      </c>
      <c r="J6" s="30">
        <f>3069.09121471049-J24</f>
        <v>2697.8314792057895</v>
      </c>
      <c r="K6" s="32">
        <f>3325.90760508843-K24</f>
        <v>2904.2198179204775</v>
      </c>
      <c r="L6" s="32">
        <f>3342.65061334549-L24</f>
        <v>2908.7921399943853</v>
      </c>
      <c r="M6" s="31">
        <f>SUM(I6:L6)</f>
        <v>11056.611724508915</v>
      </c>
      <c r="N6" s="32">
        <f>3278.3743184362-N24</f>
        <v>2855.0337119128903</v>
      </c>
      <c r="O6" s="32">
        <f>3398.60678469687-O24</f>
        <v>2954.6058238147216</v>
      </c>
      <c r="P6" s="32">
        <f>3419.85158503382-P24</f>
        <v>2970.1690749761851</v>
      </c>
      <c r="Q6" s="32">
        <f>3594.9319925296-Q24</f>
        <v>3095.3807566423011</v>
      </c>
      <c r="R6" s="31">
        <f>SUM(N6:Q6)</f>
        <v>11875.189367346098</v>
      </c>
      <c r="S6" s="91">
        <v>3175.5664525169823</v>
      </c>
      <c r="T6" s="91">
        <v>3209.926399563521</v>
      </c>
      <c r="U6" s="91">
        <v>3126.2873639359204</v>
      </c>
      <c r="V6" s="91">
        <v>3087.5000995586115</v>
      </c>
      <c r="W6" s="53">
        <f>SUM(S6:V6)</f>
        <v>12599.280315575037</v>
      </c>
      <c r="X6" s="32">
        <v>3104.4866956704727</v>
      </c>
      <c r="Y6" s="32">
        <v>3139.9094011815268</v>
      </c>
      <c r="Z6" s="32">
        <v>3233.021387500999</v>
      </c>
      <c r="AA6" s="32">
        <v>3301.419856647</v>
      </c>
      <c r="AB6" s="53">
        <f>SUM(X6:AA6)</f>
        <v>12778.837340999999</v>
      </c>
      <c r="AC6" s="91">
        <v>3339.702995019949</v>
      </c>
      <c r="AD6" s="91">
        <v>3492.6139644888626</v>
      </c>
      <c r="AE6" s="92"/>
    </row>
    <row r="7" spans="1:33" x14ac:dyDescent="0.35">
      <c r="A7" s="70" t="s">
        <v>57</v>
      </c>
      <c r="B7" s="71"/>
      <c r="C7" s="71"/>
      <c r="D7" s="30">
        <f>1929.80624069588-D25</f>
        <v>1822.9586748802831</v>
      </c>
      <c r="E7" s="30">
        <f>1940.17798007568-E25</f>
        <v>1827.0676840491974</v>
      </c>
      <c r="F7" s="30">
        <f>1989.30549609387-F25</f>
        <v>1859.0468353771842</v>
      </c>
      <c r="G7" s="30">
        <f>1974.30537523435-G25</f>
        <v>1827.491678336766</v>
      </c>
      <c r="H7" s="31">
        <f>SUM(D7:G7)</f>
        <v>7336.564872643431</v>
      </c>
      <c r="I7" s="30">
        <f>1948.891203912-I25</f>
        <v>1822.5736481628564</v>
      </c>
      <c r="J7" s="30">
        <f>2063.03783715654-J25</f>
        <v>1951.3668538255261</v>
      </c>
      <c r="K7" s="32">
        <f>2215.03430346733-K25</f>
        <v>2085.5819110783191</v>
      </c>
      <c r="L7" s="32">
        <f>2264.51179644592-L25</f>
        <v>2137.5306347846531</v>
      </c>
      <c r="M7" s="31">
        <f>SUM(I7:L7)</f>
        <v>7997.0530478513538</v>
      </c>
      <c r="N7" s="32">
        <f>2180.80047983248-N25</f>
        <v>2054.2995547455844</v>
      </c>
      <c r="O7" s="32">
        <f>2218.63845096497-O25</f>
        <v>2093.9294418730669</v>
      </c>
      <c r="P7" s="32">
        <f>2197.58416185404-P25</f>
        <v>2126.2026257056773</v>
      </c>
      <c r="Q7" s="32">
        <f>2338.2958228037-Q25</f>
        <v>2227.5797346141972</v>
      </c>
      <c r="R7" s="31">
        <f>SUM(N7:Q7)</f>
        <v>8502.0113569385248</v>
      </c>
      <c r="S7" s="91">
        <v>2218.2714194834161</v>
      </c>
      <c r="T7" s="91">
        <v>2308.8368069115381</v>
      </c>
      <c r="U7" s="91">
        <v>2299.8420414209527</v>
      </c>
      <c r="V7" s="91">
        <v>2254.181468085495</v>
      </c>
      <c r="W7" s="53">
        <f>SUM(S7:V7)</f>
        <v>9081.131735901401</v>
      </c>
      <c r="X7" s="32">
        <v>2192.7514176005834</v>
      </c>
      <c r="Y7" s="32">
        <v>2240.1969998723071</v>
      </c>
      <c r="Z7" s="32">
        <v>2335.1063669742689</v>
      </c>
      <c r="AA7" s="32">
        <v>2350.3641246396296</v>
      </c>
      <c r="AB7" s="53">
        <f>SUM(X7:AA7)</f>
        <v>9118.4189090867894</v>
      </c>
      <c r="AC7" s="91">
        <v>2405.0518516425986</v>
      </c>
      <c r="AD7" s="91">
        <v>2468.4704031422043</v>
      </c>
    </row>
    <row r="8" spans="1:33" x14ac:dyDescent="0.35">
      <c r="A8" s="70" t="s">
        <v>58</v>
      </c>
      <c r="B8" s="71"/>
      <c r="C8" s="71"/>
      <c r="D8" s="93">
        <f>497.565206792329-D26</f>
        <v>465.07491879334367</v>
      </c>
      <c r="E8" s="93">
        <f>488.801970425211-E26</f>
        <v>438.7337775312148</v>
      </c>
      <c r="F8" s="93">
        <f>567.034321506243-F26</f>
        <v>513.14346372865884</v>
      </c>
      <c r="G8" s="93">
        <f>512.278826157563-G26</f>
        <v>439.87939438318432</v>
      </c>
      <c r="H8" s="94">
        <f>SUM(D8:G8)</f>
        <v>1856.8315544364016</v>
      </c>
      <c r="I8" s="73">
        <f>516.193992299126-I26</f>
        <v>469.20017501664364</v>
      </c>
      <c r="J8" s="73">
        <f>537.444933416631-J26</f>
        <v>489.81265099474086</v>
      </c>
      <c r="K8" s="75">
        <f>766.650718543877-K26</f>
        <v>702.5872929509552</v>
      </c>
      <c r="L8" s="75">
        <f>588.687975457785-L26</f>
        <v>546.90266780086199</v>
      </c>
      <c r="M8" s="77">
        <f>SUM(I8:L8)</f>
        <v>2208.5027867632016</v>
      </c>
      <c r="N8" s="75">
        <f>736.394932182546-N26</f>
        <v>680.74751925304804</v>
      </c>
      <c r="O8" s="75">
        <f>752.441828641655-O26</f>
        <v>694.94289452355463</v>
      </c>
      <c r="P8" s="75">
        <f>713.58873355081-P26</f>
        <v>716.26576237004315</v>
      </c>
      <c r="Q8" s="75">
        <f>823.114860754184-Q26</f>
        <v>778.97211086693699</v>
      </c>
      <c r="R8" s="77">
        <f>SUM(N8:Q8)</f>
        <v>2870.9282870135826</v>
      </c>
      <c r="S8" s="95">
        <v>954.49002439661126</v>
      </c>
      <c r="T8" s="95">
        <v>1085.8746536462818</v>
      </c>
      <c r="U8" s="95">
        <v>1004.260473786171</v>
      </c>
      <c r="V8" s="95">
        <v>928.21170638223862</v>
      </c>
      <c r="W8" s="76">
        <f>SUM(S8:V8)</f>
        <v>3972.8368582113026</v>
      </c>
      <c r="X8" s="75">
        <v>932.1859357871873</v>
      </c>
      <c r="Y8" s="75">
        <v>1049.3618956486182</v>
      </c>
      <c r="Z8" s="75">
        <v>1041.0902501945143</v>
      </c>
      <c r="AA8" s="75">
        <v>967.30860943458754</v>
      </c>
      <c r="AB8" s="76">
        <f>SUM(X8:AA8)</f>
        <v>3989.9466910649076</v>
      </c>
      <c r="AC8" s="75">
        <v>969.2589114264124</v>
      </c>
      <c r="AD8" s="75">
        <v>1007.0050255881079</v>
      </c>
      <c r="AE8" s="92"/>
    </row>
    <row r="9" spans="1:33" s="28" customFormat="1" x14ac:dyDescent="0.35">
      <c r="A9" s="70" t="s">
        <v>38</v>
      </c>
      <c r="D9" s="46">
        <f t="shared" ref="D9:W9" si="0">D8/D6</f>
        <v>0.19049639731673521</v>
      </c>
      <c r="E9" s="46">
        <f t="shared" si="0"/>
        <v>0.17816619848338483</v>
      </c>
      <c r="F9" s="46">
        <f t="shared" si="0"/>
        <v>0.2023047784336649</v>
      </c>
      <c r="G9" s="46">
        <f t="shared" si="0"/>
        <v>0.17357483156024547</v>
      </c>
      <c r="H9" s="47">
        <f t="shared" si="0"/>
        <v>0.18615592440147644</v>
      </c>
      <c r="I9" s="46">
        <f t="shared" si="0"/>
        <v>0.18430592341850635</v>
      </c>
      <c r="J9" s="46">
        <f t="shared" si="0"/>
        <v>0.18155791226030771</v>
      </c>
      <c r="K9" s="46">
        <f t="shared" si="0"/>
        <v>0.24191946099108716</v>
      </c>
      <c r="L9" s="46">
        <f t="shared" si="0"/>
        <v>0.18801710176579262</v>
      </c>
      <c r="M9" s="47">
        <f t="shared" si="0"/>
        <v>0.19974498895241735</v>
      </c>
      <c r="N9" s="46">
        <f t="shared" si="0"/>
        <v>0.23843764660731204</v>
      </c>
      <c r="O9" s="46">
        <f t="shared" si="0"/>
        <v>0.23520663532244271</v>
      </c>
      <c r="P9" s="46">
        <f t="shared" si="0"/>
        <v>0.24115319508394861</v>
      </c>
      <c r="Q9" s="46">
        <f t="shared" si="0"/>
        <v>0.25165631374924069</v>
      </c>
      <c r="R9" s="47">
        <f t="shared" si="0"/>
        <v>0.24175852680782858</v>
      </c>
      <c r="S9" s="46">
        <f t="shared" si="0"/>
        <v>0.30057315400849949</v>
      </c>
      <c r="T9" s="46">
        <f t="shared" si="0"/>
        <v>0.33828646469711476</v>
      </c>
      <c r="U9" s="46">
        <f t="shared" si="0"/>
        <v>0.32123101841854718</v>
      </c>
      <c r="V9" s="46">
        <f t="shared" si="0"/>
        <v>0.30063536079397557</v>
      </c>
      <c r="W9" s="47">
        <f t="shared" si="0"/>
        <v>0.31532252308888964</v>
      </c>
      <c r="X9" s="46">
        <f>X8/X6</f>
        <v>0.3002705526447309</v>
      </c>
      <c r="Y9" s="46">
        <f>Y8/Y6</f>
        <v>0.33420132926566298</v>
      </c>
      <c r="Z9" s="46">
        <f>Z8/Z6</f>
        <v>0.32201774297547625</v>
      </c>
      <c r="AA9" s="46">
        <f t="shared" ref="AA9:AB9" si="1">AA8/AA6</f>
        <v>0.29299775594643968</v>
      </c>
      <c r="AB9" s="47">
        <f t="shared" si="1"/>
        <v>0.31223080665276526</v>
      </c>
      <c r="AC9" s="46">
        <f>AC8/AC6</f>
        <v>0.29022308656540363</v>
      </c>
      <c r="AD9" s="46">
        <f>AD8/AD6</f>
        <v>0.28832417090088602</v>
      </c>
    </row>
    <row r="10" spans="1:33" x14ac:dyDescent="0.35">
      <c r="A10" s="30" t="s">
        <v>60</v>
      </c>
      <c r="B10" s="96"/>
      <c r="C10" s="96"/>
      <c r="D10" s="30">
        <f>64.2433902518389-D28</f>
        <v>72.17050257017344</v>
      </c>
      <c r="E10" s="30">
        <f>17.5000712138116-E28</f>
        <v>10.913534952013846</v>
      </c>
      <c r="F10" s="30">
        <f>105.585468876926-F28</f>
        <v>92.786675957959631</v>
      </c>
      <c r="G10" s="30">
        <f>20.2951074949142-G28</f>
        <v>-8.0183747495203228</v>
      </c>
      <c r="H10" s="31">
        <f t="shared" ref="H10" si="2">SUM(D10:G10)</f>
        <v>167.8523387306266</v>
      </c>
      <c r="I10" s="30">
        <f>40.3874667620358-I28</f>
        <v>25.744890197553488</v>
      </c>
      <c r="J10" s="30">
        <f>46.2891076920656-J28</f>
        <v>31.540599204175429</v>
      </c>
      <c r="K10" s="30">
        <f>252.415785983245-K28</f>
        <v>225.2506469331297</v>
      </c>
      <c r="L10" s="30">
        <f>39.8780040520262-L28</f>
        <v>31.304705416540266</v>
      </c>
      <c r="M10" s="31">
        <f t="shared" ref="M10" si="3">SUM(I10:L10)</f>
        <v>313.8408417513989</v>
      </c>
      <c r="N10" s="30">
        <f>191.213716166164-N28</f>
        <v>170.74605117312603</v>
      </c>
      <c r="O10" s="30">
        <f>201.301494416628-O28</f>
        <v>182.50855725978002</v>
      </c>
      <c r="P10" s="30">
        <f>160.532136406293-P28</f>
        <v>193.51691428560494</v>
      </c>
      <c r="Q10" s="30">
        <f>145.0605696364-Q28</f>
        <v>166.26970133412141</v>
      </c>
      <c r="R10" s="31">
        <f t="shared" ref="R10" si="4">SUM(N10:Q10)</f>
        <v>713.04122405263229</v>
      </c>
      <c r="S10" s="52">
        <v>408.23995777239253</v>
      </c>
      <c r="T10" s="52">
        <v>559.14670794802873</v>
      </c>
      <c r="U10" s="52">
        <v>490.5880063863433</v>
      </c>
      <c r="V10" s="52">
        <v>371.07277840153438</v>
      </c>
      <c r="W10" s="53">
        <f>SUM(S10:V10)</f>
        <v>1829.0474505082989</v>
      </c>
      <c r="X10" s="32">
        <v>435.27685760930098</v>
      </c>
      <c r="Y10" s="32">
        <v>542.80997025745728</v>
      </c>
      <c r="Z10" s="32">
        <v>533.21031386395725</v>
      </c>
      <c r="AA10" s="32">
        <v>422.30577107152948</v>
      </c>
      <c r="AB10" s="53">
        <f>SUM(X10:AA10)</f>
        <v>1933.6029128022451</v>
      </c>
      <c r="AC10" s="32">
        <v>466.20231817187778</v>
      </c>
      <c r="AD10" s="32">
        <v>485.22013667619512</v>
      </c>
      <c r="AE10" s="97"/>
      <c r="AF10" s="97"/>
      <c r="AG10" s="97"/>
    </row>
    <row r="11" spans="1:33" x14ac:dyDescent="0.35">
      <c r="A11" s="30" t="s">
        <v>72</v>
      </c>
      <c r="B11" s="96"/>
      <c r="C11" s="96"/>
      <c r="D11" s="30">
        <v>202.84502241126523</v>
      </c>
      <c r="E11" s="30">
        <v>403.63199792769842</v>
      </c>
      <c r="F11" s="30">
        <v>291.23060169161488</v>
      </c>
      <c r="G11" s="30">
        <v>244.91954168411993</v>
      </c>
      <c r="H11" s="31">
        <f>SUM(D11:G11)</f>
        <v>1142.6271637146986</v>
      </c>
      <c r="I11" s="30">
        <v>409.47942415618479</v>
      </c>
      <c r="J11" s="30">
        <v>368.11284627368087</v>
      </c>
      <c r="K11" s="30">
        <v>425.00219059769296</v>
      </c>
      <c r="L11" s="30">
        <v>341.82994180841632</v>
      </c>
      <c r="M11" s="31">
        <f>SUM(I11:L11)</f>
        <v>1544.4244028359751</v>
      </c>
      <c r="N11" s="30">
        <v>243.40854407942012</v>
      </c>
      <c r="O11" s="30">
        <v>348.2520659805283</v>
      </c>
      <c r="P11" s="30">
        <v>401.80538519882725</v>
      </c>
      <c r="Q11" s="30">
        <v>236.27288580269015</v>
      </c>
      <c r="R11" s="31">
        <f>SUM(N11:Q11)</f>
        <v>1229.7388810614659</v>
      </c>
      <c r="S11" s="52">
        <v>302.46733638492748</v>
      </c>
      <c r="T11" s="52">
        <v>260.90478920015545</v>
      </c>
      <c r="U11" s="52">
        <v>273.12368887103264</v>
      </c>
      <c r="V11" s="52">
        <v>325.19918773316908</v>
      </c>
      <c r="W11" s="53">
        <f>SUM(S11:V11)</f>
        <v>1161.6950021892847</v>
      </c>
      <c r="X11" s="32">
        <v>331.807830245856</v>
      </c>
      <c r="Y11" s="32">
        <v>348.54822511131528</v>
      </c>
      <c r="Z11" s="32">
        <v>300.99534960433596</v>
      </c>
      <c r="AA11" s="32">
        <v>377.09379781342807</v>
      </c>
      <c r="AB11" s="53">
        <f>SUM(X11:AA11)</f>
        <v>1358.4452027749353</v>
      </c>
      <c r="AC11" s="32">
        <v>296.700064172</v>
      </c>
      <c r="AD11" s="32">
        <v>364.166787892</v>
      </c>
      <c r="AE11" s="97"/>
    </row>
    <row r="12" spans="1:33" x14ac:dyDescent="0.35">
      <c r="A12" s="30" t="s">
        <v>73</v>
      </c>
      <c r="B12" s="96"/>
      <c r="C12" s="96"/>
      <c r="D12" s="30">
        <f t="shared" ref="D12:R12" si="5">D8-D11</f>
        <v>262.22989638207844</v>
      </c>
      <c r="E12" s="30">
        <f t="shared" si="5"/>
        <v>35.101779603516377</v>
      </c>
      <c r="F12" s="30">
        <f t="shared" si="5"/>
        <v>221.91286203704396</v>
      </c>
      <c r="G12" s="30">
        <f t="shared" si="5"/>
        <v>194.95985269906438</v>
      </c>
      <c r="H12" s="31">
        <f t="shared" si="5"/>
        <v>714.20439072170302</v>
      </c>
      <c r="I12" s="30">
        <f t="shared" si="5"/>
        <v>59.72075086045885</v>
      </c>
      <c r="J12" s="30">
        <f t="shared" si="5"/>
        <v>121.69980472105999</v>
      </c>
      <c r="K12" s="30">
        <f t="shared" si="5"/>
        <v>277.58510235326224</v>
      </c>
      <c r="L12" s="30">
        <f t="shared" si="5"/>
        <v>205.07272599244567</v>
      </c>
      <c r="M12" s="31">
        <f t="shared" si="5"/>
        <v>664.07838392722647</v>
      </c>
      <c r="N12" s="30">
        <f t="shared" si="5"/>
        <v>437.33897517362789</v>
      </c>
      <c r="O12" s="30">
        <f t="shared" si="5"/>
        <v>346.69082854302633</v>
      </c>
      <c r="P12" s="30">
        <f t="shared" si="5"/>
        <v>314.4603771712159</v>
      </c>
      <c r="Q12" s="30">
        <f t="shared" si="5"/>
        <v>542.69922506424678</v>
      </c>
      <c r="R12" s="31">
        <f t="shared" si="5"/>
        <v>1641.1894059521167</v>
      </c>
      <c r="S12" s="52">
        <f>S8-S11</f>
        <v>652.02268801168384</v>
      </c>
      <c r="T12" s="52">
        <f t="shared" ref="T12:W12" si="6">T8-T11</f>
        <v>824.96986444612639</v>
      </c>
      <c r="U12" s="52">
        <f t="shared" si="6"/>
        <v>731.13678491513838</v>
      </c>
      <c r="V12" s="52">
        <f t="shared" si="6"/>
        <v>603.01251864906953</v>
      </c>
      <c r="W12" s="53">
        <f t="shared" si="6"/>
        <v>2811.1418560220181</v>
      </c>
      <c r="X12" s="32">
        <f>X8-X11</f>
        <v>600.37810554133125</v>
      </c>
      <c r="Y12" s="32">
        <f>Y8-Y11</f>
        <v>700.81367053730287</v>
      </c>
      <c r="Z12" s="32">
        <f>Z8-Z11</f>
        <v>740.09490059017833</v>
      </c>
      <c r="AA12" s="32">
        <f t="shared" ref="AA12:AB12" si="7">AA8-AA11</f>
        <v>590.21481162115947</v>
      </c>
      <c r="AB12" s="53">
        <f t="shared" si="7"/>
        <v>2631.5014882899723</v>
      </c>
      <c r="AC12" s="32">
        <f>AC8-AC11</f>
        <v>672.5588472544124</v>
      </c>
      <c r="AD12" s="32">
        <f>AD8-AD11</f>
        <v>642.83823769610785</v>
      </c>
    </row>
    <row r="13" spans="1:33" x14ac:dyDescent="0.35">
      <c r="A13" s="98"/>
      <c r="B13" s="56"/>
      <c r="C13" s="56"/>
      <c r="D13" s="99"/>
      <c r="E13" s="99"/>
      <c r="F13" s="99"/>
      <c r="G13" s="99"/>
      <c r="H13" s="100"/>
      <c r="I13" s="99"/>
      <c r="J13" s="99"/>
      <c r="K13" s="101"/>
      <c r="L13" s="101"/>
      <c r="M13" s="102"/>
      <c r="N13" s="101"/>
      <c r="O13" s="101"/>
      <c r="P13" s="101"/>
      <c r="Q13" s="101"/>
      <c r="R13" s="102"/>
      <c r="S13" s="103"/>
      <c r="T13" s="103"/>
      <c r="U13" s="103"/>
      <c r="V13" s="103"/>
      <c r="W13" s="104"/>
      <c r="X13" s="32"/>
      <c r="Y13" s="32"/>
      <c r="Z13" s="32"/>
      <c r="AA13" s="32"/>
      <c r="AB13" s="104"/>
      <c r="AC13" s="32"/>
      <c r="AD13" s="32"/>
    </row>
    <row r="14" spans="1:33" ht="15.5" x14ac:dyDescent="0.35">
      <c r="A14" s="105" t="s">
        <v>74</v>
      </c>
      <c r="B14" s="18"/>
      <c r="C14" s="18"/>
      <c r="I14" s="106"/>
      <c r="J14" s="106"/>
      <c r="K14" s="107"/>
      <c r="L14" s="101"/>
      <c r="M14" s="102"/>
      <c r="N14" s="101"/>
      <c r="O14" s="101"/>
      <c r="P14" s="101"/>
      <c r="Q14" s="101"/>
      <c r="R14" s="102"/>
      <c r="S14" s="103"/>
      <c r="T14" s="103"/>
      <c r="U14" s="103"/>
      <c r="V14" s="103"/>
      <c r="W14" s="104"/>
      <c r="X14" s="32"/>
      <c r="Y14" s="32"/>
      <c r="Z14" s="32"/>
      <c r="AA14" s="32"/>
      <c r="AB14" s="104"/>
      <c r="AC14" s="32"/>
      <c r="AD14" s="32"/>
    </row>
    <row r="15" spans="1:33" x14ac:dyDescent="0.35">
      <c r="A15" s="70" t="s">
        <v>56</v>
      </c>
      <c r="B15" s="56"/>
      <c r="C15" s="56"/>
      <c r="D15" s="30">
        <v>1533.4009358722851</v>
      </c>
      <c r="E15" s="52">
        <v>1434.467946592199</v>
      </c>
      <c r="F15" s="30">
        <v>1230.2495755814762</v>
      </c>
      <c r="G15" s="30">
        <v>1113.2238893246777</v>
      </c>
      <c r="H15" s="31">
        <f>SUM(D15:G15)</f>
        <v>5311.342347370638</v>
      </c>
      <c r="I15" s="30">
        <v>1026.787438730528</v>
      </c>
      <c r="J15" s="30">
        <v>999.13511016691223</v>
      </c>
      <c r="K15" s="32">
        <v>943.56030019830018</v>
      </c>
      <c r="L15" s="32">
        <v>900.82778644935888</v>
      </c>
      <c r="M15" s="31">
        <f>SUM(I15:L15)</f>
        <v>3870.3106355450996</v>
      </c>
      <c r="N15" s="32">
        <v>890.25</v>
      </c>
      <c r="O15" s="32">
        <v>874.14451671699976</v>
      </c>
      <c r="P15" s="32">
        <v>808.87345497118008</v>
      </c>
      <c r="Q15" s="32">
        <v>802.95430688717988</v>
      </c>
      <c r="R15" s="31">
        <f>SUM(N15:Q15)</f>
        <v>3376.2222785753597</v>
      </c>
      <c r="S15" s="91">
        <v>799.3215459960818</v>
      </c>
      <c r="T15" s="91">
        <v>758.91586283129402</v>
      </c>
      <c r="U15" s="91">
        <v>674.26225365173946</v>
      </c>
      <c r="V15" s="91">
        <v>558.27369386824932</v>
      </c>
      <c r="W15" s="53">
        <f>SUM(S15:V15)</f>
        <v>2790.7733563473648</v>
      </c>
      <c r="X15" s="32">
        <v>589.17622886923664</v>
      </c>
      <c r="Y15" s="32">
        <v>606.04179264676316</v>
      </c>
      <c r="Z15" s="32">
        <v>554.21004600400022</v>
      </c>
      <c r="AA15" s="32">
        <v>536.9298782799998</v>
      </c>
      <c r="AB15" s="53">
        <f>SUM(X15:AA15)</f>
        <v>2286.3579457999995</v>
      </c>
      <c r="AC15" s="32">
        <v>561.3986103494002</v>
      </c>
      <c r="AD15" s="32">
        <v>524.48674584231969</v>
      </c>
    </row>
    <row r="16" spans="1:33" x14ac:dyDescent="0.35">
      <c r="A16" s="70" t="s">
        <v>57</v>
      </c>
      <c r="B16" s="56"/>
      <c r="C16" s="56"/>
      <c r="D16" s="30">
        <v>188.96007426506802</v>
      </c>
      <c r="E16" s="30">
        <v>190.69126104646764</v>
      </c>
      <c r="F16" s="30">
        <v>162.52661966211184</v>
      </c>
      <c r="G16" s="30">
        <v>159.38858123250156</v>
      </c>
      <c r="H16" s="31">
        <f>SUM(D16:G16)</f>
        <v>701.56653620614907</v>
      </c>
      <c r="I16" s="30">
        <v>147.90147886158479</v>
      </c>
      <c r="J16" s="30">
        <v>158.39583085447089</v>
      </c>
      <c r="K16" s="32">
        <v>148.02308533418969</v>
      </c>
      <c r="L16" s="32">
        <v>164.28583455774549</v>
      </c>
      <c r="M16" s="72">
        <f>SUM(I16:L16)</f>
        <v>618.60622960799083</v>
      </c>
      <c r="N16" s="32">
        <v>147.79250668595603</v>
      </c>
      <c r="O16" s="32">
        <v>149.29354662473281</v>
      </c>
      <c r="P16" s="32">
        <v>103.49343127609171</v>
      </c>
      <c r="Q16" s="32">
        <v>111.34495586761062</v>
      </c>
      <c r="R16" s="72">
        <f>SUM(N16:Q16)</f>
        <v>511.92444045439117</v>
      </c>
      <c r="S16" s="91">
        <v>128.29015962341572</v>
      </c>
      <c r="T16" s="91">
        <v>129.43285310480007</v>
      </c>
      <c r="U16" s="91">
        <v>78.0948641009292</v>
      </c>
      <c r="V16" s="91">
        <v>92.452910754446464</v>
      </c>
      <c r="W16" s="78">
        <f>SUM(S16:V16)</f>
        <v>428.27078758359147</v>
      </c>
      <c r="X16" s="32">
        <v>85.074169021018662</v>
      </c>
      <c r="Y16" s="32">
        <v>99.898837562981228</v>
      </c>
      <c r="Z16" s="32">
        <v>89.379489603000053</v>
      </c>
      <c r="AA16" s="32">
        <v>106.71839356299984</v>
      </c>
      <c r="AB16" s="78">
        <f>SUM(X16:AA16)</f>
        <v>381.07088974999976</v>
      </c>
      <c r="AC16" s="32">
        <v>105.15643724604865</v>
      </c>
      <c r="AD16" s="32">
        <v>145.69793405087597</v>
      </c>
    </row>
    <row r="17" spans="1:33" x14ac:dyDescent="0.35">
      <c r="A17" s="70" t="s">
        <v>58</v>
      </c>
      <c r="B17" s="56"/>
      <c r="C17" s="56"/>
      <c r="D17" s="108">
        <v>90.504754553253861</v>
      </c>
      <c r="E17" s="108">
        <v>105.34575922856925</v>
      </c>
      <c r="F17" s="108">
        <v>75.986193717172057</v>
      </c>
      <c r="G17" s="108">
        <v>74.706716102763721</v>
      </c>
      <c r="H17" s="94">
        <f>SUM(D17:G17)</f>
        <v>346.54342360175889</v>
      </c>
      <c r="I17" s="73">
        <v>70.66351912495017</v>
      </c>
      <c r="J17" s="73">
        <v>92.720022215032373</v>
      </c>
      <c r="K17" s="75">
        <v>75.918607776308363</v>
      </c>
      <c r="L17" s="75">
        <v>96.577030242296956</v>
      </c>
      <c r="M17" s="77">
        <f>SUM(I17:L17)</f>
        <v>335.87917935858786</v>
      </c>
      <c r="N17" s="75">
        <v>89.245828963999372</v>
      </c>
      <c r="O17" s="75">
        <v>81.215321281481238</v>
      </c>
      <c r="P17" s="75">
        <v>47.215916511011159</v>
      </c>
      <c r="Q17" s="75">
        <v>45.72266590667391</v>
      </c>
      <c r="R17" s="77">
        <f>SUM(N17:Q17)</f>
        <v>263.39973266316565</v>
      </c>
      <c r="S17" s="95">
        <v>66.55109615382149</v>
      </c>
      <c r="T17" s="95">
        <v>49.357742888195219</v>
      </c>
      <c r="U17" s="95">
        <v>19.167992295331231</v>
      </c>
      <c r="V17" s="95">
        <v>35.266691448819557</v>
      </c>
      <c r="W17" s="76">
        <f>SUM(S17:V17)</f>
        <v>170.34352278616748</v>
      </c>
      <c r="X17" s="75">
        <v>25.90469911043688</v>
      </c>
      <c r="Y17" s="75">
        <v>45.60861800961419</v>
      </c>
      <c r="Z17" s="75">
        <v>42.689552884733025</v>
      </c>
      <c r="AA17" s="75">
        <v>37.372017856967091</v>
      </c>
      <c r="AB17" s="76">
        <f>SUM(X17:AA17)</f>
        <v>151.57488786175119</v>
      </c>
      <c r="AC17" s="75">
        <v>61.714935242514713</v>
      </c>
      <c r="AD17" s="75">
        <v>100.97613948445493</v>
      </c>
    </row>
    <row r="18" spans="1:33" x14ac:dyDescent="0.35">
      <c r="A18" s="70" t="s">
        <v>38</v>
      </c>
      <c r="B18" s="56"/>
      <c r="C18" s="56"/>
      <c r="D18" s="46">
        <f t="shared" ref="D18:W18" si="8">D17/D15</f>
        <v>5.9022237717475792E-2</v>
      </c>
      <c r="E18" s="46">
        <f t="shared" si="8"/>
        <v>7.3438907769835096E-2</v>
      </c>
      <c r="F18" s="46">
        <f t="shared" si="8"/>
        <v>6.1764860744826726E-2</v>
      </c>
      <c r="G18" s="46">
        <f t="shared" si="8"/>
        <v>6.7108437771743787E-2</v>
      </c>
      <c r="H18" s="47">
        <f t="shared" si="8"/>
        <v>6.5245921075547691E-2</v>
      </c>
      <c r="I18" s="46">
        <f t="shared" si="8"/>
        <v>6.8820007393463292E-2</v>
      </c>
      <c r="J18" s="46">
        <f t="shared" si="8"/>
        <v>9.2800284237376934E-2</v>
      </c>
      <c r="K18" s="46">
        <f t="shared" si="8"/>
        <v>8.0459730830507795E-2</v>
      </c>
      <c r="L18" s="46">
        <f t="shared" si="8"/>
        <v>0.10720920435076538</v>
      </c>
      <c r="M18" s="47">
        <f t="shared" si="8"/>
        <v>8.6783519719026952E-2</v>
      </c>
      <c r="N18" s="46">
        <f t="shared" si="8"/>
        <v>0.10024805275372016</v>
      </c>
      <c r="O18" s="46">
        <f t="shared" si="8"/>
        <v>9.2908346078174081E-2</v>
      </c>
      <c r="P18" s="46">
        <f t="shared" si="8"/>
        <v>5.837243912608487E-2</v>
      </c>
      <c r="Q18" s="46">
        <f t="shared" si="8"/>
        <v>5.6943048333506517E-2</v>
      </c>
      <c r="R18" s="47">
        <f t="shared" si="8"/>
        <v>7.8016111182795264E-2</v>
      </c>
      <c r="S18" s="46">
        <f t="shared" si="8"/>
        <v>8.3259479851613707E-2</v>
      </c>
      <c r="T18" s="46">
        <f t="shared" si="8"/>
        <v>6.5037173823269234E-2</v>
      </c>
      <c r="U18" s="46">
        <f t="shared" si="8"/>
        <v>2.8428096325308485E-2</v>
      </c>
      <c r="V18" s="46">
        <f t="shared" si="8"/>
        <v>6.3170971221048394E-2</v>
      </c>
      <c r="W18" s="47">
        <f t="shared" si="8"/>
        <v>6.1038107017446025E-2</v>
      </c>
      <c r="X18" s="46">
        <f>X17/X15</f>
        <v>4.3967658301751068E-2</v>
      </c>
      <c r="Y18" s="46">
        <f>Y17/Y15</f>
        <v>7.5256555839866929E-2</v>
      </c>
      <c r="Z18" s="46">
        <f>Z17/Z15</f>
        <v>7.7027750024626765E-2</v>
      </c>
      <c r="AA18" s="46">
        <f t="shared" ref="AA18:AB18" si="9">AA17/AA15</f>
        <v>6.9603163036269358E-2</v>
      </c>
      <c r="AB18" s="47">
        <f t="shared" si="9"/>
        <v>6.6295344585125732E-2</v>
      </c>
      <c r="AC18" s="46">
        <f>AC17/AC15</f>
        <v>0.10993068758062102</v>
      </c>
      <c r="AD18" s="46">
        <f>AD17/AD15</f>
        <v>0.19252372016053221</v>
      </c>
    </row>
    <row r="19" spans="1:33" x14ac:dyDescent="0.35">
      <c r="A19" s="30" t="s">
        <v>60</v>
      </c>
      <c r="B19" s="56"/>
      <c r="C19" s="56"/>
      <c r="D19" s="109">
        <v>79.178480675376761</v>
      </c>
      <c r="E19" s="109">
        <v>92.959697734005289</v>
      </c>
      <c r="F19" s="109">
        <v>64.623112724483605</v>
      </c>
      <c r="G19" s="109">
        <v>61.542925708251403</v>
      </c>
      <c r="H19" s="53">
        <f t="shared" ref="H19" si="10">SUM(D19:G19)</f>
        <v>298.30421684211706</v>
      </c>
      <c r="I19" s="30">
        <v>61.596363612905179</v>
      </c>
      <c r="J19" s="30">
        <v>83.285007027571382</v>
      </c>
      <c r="K19" s="30">
        <v>66.679727669406347</v>
      </c>
      <c r="L19" s="30">
        <v>86.72490099710663</v>
      </c>
      <c r="M19" s="31">
        <f t="shared" ref="M19" si="11">SUM(I19:L19)</f>
        <v>298.28599930698954</v>
      </c>
      <c r="N19" s="30">
        <v>82.275162320699224</v>
      </c>
      <c r="O19" s="30">
        <v>74.017173325327221</v>
      </c>
      <c r="P19" s="30">
        <v>39.763884778336319</v>
      </c>
      <c r="Q19" s="30">
        <v>37.060628754039428</v>
      </c>
      <c r="R19" s="31">
        <f t="shared" ref="R19" si="12">SUM(N19:Q19)</f>
        <v>233.11684917840222</v>
      </c>
      <c r="S19" s="52">
        <v>56.992102085818317</v>
      </c>
      <c r="T19" s="52">
        <v>40.068356272709011</v>
      </c>
      <c r="U19" s="52">
        <v>10.082236052750579</v>
      </c>
      <c r="V19" s="52">
        <v>27.027963076599161</v>
      </c>
      <c r="W19" s="53">
        <f t="shared" ref="W19" si="13">SUM(S19:V19)</f>
        <v>134.17065748787707</v>
      </c>
      <c r="X19" s="32">
        <v>15.307613235910448</v>
      </c>
      <c r="Y19" s="32">
        <v>34.91948067961021</v>
      </c>
      <c r="Z19" s="32">
        <v>32.387666676443111</v>
      </c>
      <c r="AA19" s="32">
        <v>20.010708371459458</v>
      </c>
      <c r="AB19" s="53">
        <f t="shared" ref="AB19" si="14">SUM(X19:AA19)</f>
        <v>102.62546896342323</v>
      </c>
      <c r="AC19" s="32">
        <v>52.418434193050267</v>
      </c>
      <c r="AD19" s="32">
        <v>92.037144319525765</v>
      </c>
      <c r="AE19" s="97"/>
      <c r="AF19" s="97"/>
      <c r="AG19" s="97"/>
    </row>
    <row r="20" spans="1:33" x14ac:dyDescent="0.35">
      <c r="A20" s="30" t="s">
        <v>72</v>
      </c>
      <c r="B20" s="56"/>
      <c r="C20" s="56"/>
      <c r="D20" s="30">
        <v>0.64199069480644844</v>
      </c>
      <c r="E20" s="30">
        <v>1.6686813375124416</v>
      </c>
      <c r="F20" s="30">
        <v>3.6095894108111937</v>
      </c>
      <c r="G20" s="30">
        <v>2.5750076446126453</v>
      </c>
      <c r="H20" s="31">
        <f>SUM(D20:G20)</f>
        <v>8.495269087742729</v>
      </c>
      <c r="I20" s="30">
        <v>2.3686880922032243</v>
      </c>
      <c r="J20" s="30">
        <v>1.4578395389287735</v>
      </c>
      <c r="K20" s="30">
        <v>0.90306439440035469</v>
      </c>
      <c r="L20" s="30">
        <v>0.13401365879253024</v>
      </c>
      <c r="M20" s="31">
        <f>SUM(I20:L20)</f>
        <v>4.8636056843248827</v>
      </c>
      <c r="N20" s="30">
        <v>0.26939720891370006</v>
      </c>
      <c r="O20" s="30">
        <v>8.9904003369792118</v>
      </c>
      <c r="P20" s="30">
        <v>1.0951792967026908</v>
      </c>
      <c r="Q20" s="30">
        <v>0.89898649023906252</v>
      </c>
      <c r="R20" s="31">
        <f>SUM(N20:Q20)</f>
        <v>11.253963332834665</v>
      </c>
      <c r="S20" s="52">
        <v>12.782085663902491</v>
      </c>
      <c r="T20" s="52">
        <v>5.2904606348039724</v>
      </c>
      <c r="U20" s="52">
        <v>1.1915359394988876</v>
      </c>
      <c r="V20" s="52">
        <v>3.2097541336022068</v>
      </c>
      <c r="W20" s="53">
        <f>SUM(S20:V20)</f>
        <v>22.473836371807558</v>
      </c>
      <c r="X20" s="32">
        <v>1.8956453362905192</v>
      </c>
      <c r="Y20" s="32">
        <v>0.87781459054956312</v>
      </c>
      <c r="Z20" s="32">
        <v>0.91403754142845006</v>
      </c>
      <c r="AA20" s="32">
        <v>1.2143287856101499</v>
      </c>
      <c r="AB20" s="53">
        <f>SUM(X20:AA20)</f>
        <v>4.9018262538786823</v>
      </c>
      <c r="AC20" s="32">
        <v>0.96098602431999991</v>
      </c>
      <c r="AD20" s="32">
        <v>2.07818746368</v>
      </c>
    </row>
    <row r="21" spans="1:33" x14ac:dyDescent="0.35">
      <c r="A21" s="30" t="s">
        <v>73</v>
      </c>
      <c r="D21" s="30">
        <f t="shared" ref="D21:R21" si="15">D17-D20</f>
        <v>89.862763858447408</v>
      </c>
      <c r="E21" s="30">
        <f t="shared" si="15"/>
        <v>103.67707789105681</v>
      </c>
      <c r="F21" s="30">
        <f t="shared" si="15"/>
        <v>72.376604306360861</v>
      </c>
      <c r="G21" s="30">
        <f t="shared" si="15"/>
        <v>72.131708458151081</v>
      </c>
      <c r="H21" s="31">
        <f t="shared" si="15"/>
        <v>338.04815451401618</v>
      </c>
      <c r="I21" s="30">
        <f t="shared" si="15"/>
        <v>68.294831032746941</v>
      </c>
      <c r="J21" s="30">
        <f t="shared" si="15"/>
        <v>91.262182676103606</v>
      </c>
      <c r="K21" s="30">
        <f t="shared" si="15"/>
        <v>75.015543381908003</v>
      </c>
      <c r="L21" s="30">
        <f t="shared" si="15"/>
        <v>96.443016583504431</v>
      </c>
      <c r="M21" s="31">
        <f t="shared" si="15"/>
        <v>331.01557367426295</v>
      </c>
      <c r="N21" s="30">
        <f t="shared" si="15"/>
        <v>88.97643175508567</v>
      </c>
      <c r="O21" s="30">
        <f t="shared" si="15"/>
        <v>72.224920944502031</v>
      </c>
      <c r="P21" s="30">
        <f t="shared" si="15"/>
        <v>46.12073721430847</v>
      </c>
      <c r="Q21" s="30">
        <f t="shared" si="15"/>
        <v>44.82367941643485</v>
      </c>
      <c r="R21" s="31">
        <f t="shared" si="15"/>
        <v>252.14576933033098</v>
      </c>
      <c r="S21" s="52">
        <f>S17-S20</f>
        <v>53.769010489918998</v>
      </c>
      <c r="T21" s="52">
        <f t="shared" ref="T21:V21" si="16">T17-T20</f>
        <v>44.067282253391248</v>
      </c>
      <c r="U21" s="52">
        <f t="shared" si="16"/>
        <v>17.976456355832344</v>
      </c>
      <c r="V21" s="52">
        <f t="shared" si="16"/>
        <v>32.056937315217354</v>
      </c>
      <c r="W21" s="53">
        <f>W17-W20</f>
        <v>147.86968641435993</v>
      </c>
      <c r="X21" s="52">
        <f>X17-X20</f>
        <v>24.009053774146359</v>
      </c>
      <c r="Y21" s="52">
        <f>Y17-Y20</f>
        <v>44.730803419064628</v>
      </c>
      <c r="Z21" s="52">
        <f>Z17-Z20</f>
        <v>41.775515343304576</v>
      </c>
      <c r="AA21" s="52">
        <f t="shared" ref="AA21:AC21" si="17">AA17-AA20</f>
        <v>36.157689071356941</v>
      </c>
      <c r="AB21" s="53">
        <f>AB17-AB20</f>
        <v>146.67306160787251</v>
      </c>
      <c r="AC21" s="52">
        <f t="shared" si="17"/>
        <v>60.753949218194713</v>
      </c>
      <c r="AD21" s="52">
        <f>AD17-AD20</f>
        <v>98.897952020774937</v>
      </c>
    </row>
    <row r="22" spans="1:33" x14ac:dyDescent="0.35">
      <c r="D22" s="52"/>
      <c r="E22" s="52"/>
      <c r="F22" s="52"/>
      <c r="G22" s="52"/>
      <c r="H22" s="53"/>
      <c r="I22" s="52"/>
      <c r="J22" s="52"/>
      <c r="K22" s="52"/>
      <c r="L22" s="52"/>
      <c r="M22" s="53"/>
      <c r="N22" s="52"/>
      <c r="O22" s="52"/>
      <c r="P22" s="52"/>
      <c r="Q22" s="52"/>
      <c r="R22" s="53"/>
      <c r="S22" s="52"/>
      <c r="T22" s="52"/>
      <c r="U22" s="52"/>
      <c r="V22" s="52"/>
      <c r="W22" s="53"/>
      <c r="AB22" s="53"/>
    </row>
    <row r="23" spans="1:33" ht="15.5" hidden="1" x14ac:dyDescent="0.35">
      <c r="A23" s="105" t="s">
        <v>75</v>
      </c>
      <c r="B23" s="18"/>
      <c r="C23" s="18"/>
      <c r="I23" s="106"/>
      <c r="J23" s="106"/>
      <c r="K23" s="107"/>
      <c r="L23" s="101"/>
      <c r="M23" s="102"/>
      <c r="N23" s="101"/>
      <c r="O23" s="101"/>
      <c r="P23" s="101"/>
      <c r="Q23" s="101"/>
      <c r="R23" s="102"/>
      <c r="S23" s="103"/>
      <c r="T23" s="103"/>
      <c r="U23" s="103"/>
      <c r="V23" s="103"/>
      <c r="W23" s="104"/>
      <c r="AB23" s="104"/>
    </row>
    <row r="24" spans="1:33" hidden="1" x14ac:dyDescent="0.35">
      <c r="A24" s="110" t="s">
        <v>56</v>
      </c>
      <c r="B24" s="56"/>
      <c r="C24" s="56"/>
      <c r="D24" s="30">
        <f>'Others (Rental and Subs)'!D6+'Others (Rental and Subs)'!D12+'Others (Rental and Subs)'!D18</f>
        <v>364.57843414536649</v>
      </c>
      <c r="E24" s="30">
        <f>'Others (Rental and Subs)'!E6+'Others (Rental and Subs)'!E12+'Others (Rental and Subs)'!E18</f>
        <v>350.493227218019</v>
      </c>
      <c r="F24" s="30">
        <f>'Others (Rental and Subs)'!F6+'Others (Rental and Subs)'!F12+'Others (Rental and Subs)'!F18</f>
        <v>378.02921676513074</v>
      </c>
      <c r="G24" s="30">
        <f>'Others (Rental and Subs)'!G6+'Others (Rental and Subs)'!G12+'Others (Rental and Subs)'!G18</f>
        <v>392.6448722410463</v>
      </c>
      <c r="H24" s="31">
        <f>SUM(D24:G24)</f>
        <v>1485.7457503695628</v>
      </c>
      <c r="I24" s="30">
        <f>'Others (Rental and Subs)'!I6+'Others (Rental and Subs)'!I12+'Others (Rental and Subs)'!I18</f>
        <v>371.1867257666151</v>
      </c>
      <c r="J24" s="30">
        <f>'Others (Rental and Subs)'!J6+'Others (Rental and Subs)'!J12+'Others (Rental and Subs)'!J18</f>
        <v>371.2597355047007</v>
      </c>
      <c r="K24" s="30">
        <f>'Others (Rental and Subs)'!K6+'Others (Rental and Subs)'!K12+'Others (Rental and Subs)'!K18</f>
        <v>421.68778716795271</v>
      </c>
      <c r="L24" s="30">
        <f>'Others (Rental and Subs)'!L6+'Others (Rental and Subs)'!L12+'Others (Rental and Subs)'!L18</f>
        <v>433.85847335110469</v>
      </c>
      <c r="M24" s="53">
        <f>SUM(I24:L24)</f>
        <v>1597.9927217903733</v>
      </c>
      <c r="N24" s="32">
        <f>'Others (Rental and Subs)'!N6+'Others (Rental and Subs)'!N12+'Others (Rental and Subs)'!N18</f>
        <v>423.34060652330999</v>
      </c>
      <c r="O24" s="32">
        <f>'Others (Rental and Subs)'!O6+'Others (Rental and Subs)'!O12+'Others (Rental and Subs)'!O18</f>
        <v>444.00096088214821</v>
      </c>
      <c r="P24" s="32">
        <f>'Others (Rental and Subs)'!P6+'Others (Rental and Subs)'!P12+'Others (Rental and Subs)'!P18</f>
        <v>449.68251005763466</v>
      </c>
      <c r="Q24" s="32">
        <f>'Others (Rental and Subs)'!Q6+'Others (Rental and Subs)'!Q12+'Others (Rental and Subs)'!Q18</f>
        <v>499.55123588729867</v>
      </c>
      <c r="R24" s="31">
        <f>SUM(N24:Q24)</f>
        <v>1816.5753133503915</v>
      </c>
      <c r="S24" s="91">
        <v>428.05067720925001</v>
      </c>
      <c r="T24" s="91">
        <v>432.23479753674604</v>
      </c>
      <c r="U24" s="91">
        <v>422.28951401120344</v>
      </c>
      <c r="V24" s="91">
        <v>427.47550321360791</v>
      </c>
      <c r="W24" s="53">
        <f>SUM(S24:V24)</f>
        <v>1710.0504919708073</v>
      </c>
      <c r="X24" s="32">
        <v>409.12666139718863</v>
      </c>
      <c r="Y24" s="32">
        <v>428.07050533376139</v>
      </c>
      <c r="Z24" s="32">
        <v>397.65304768504996</v>
      </c>
      <c r="AA24" s="32">
        <v>424.68685043400001</v>
      </c>
      <c r="AB24" s="53">
        <f>SUM(X24:AA24)</f>
        <v>1659.53706485</v>
      </c>
      <c r="AC24" s="32">
        <v>409.12666139718863</v>
      </c>
      <c r="AD24" s="32"/>
    </row>
    <row r="25" spans="1:33" hidden="1" x14ac:dyDescent="0.35">
      <c r="A25" s="110" t="s">
        <v>57</v>
      </c>
      <c r="B25" s="56"/>
      <c r="C25" s="56"/>
      <c r="D25" s="30">
        <f>'Others (Rental and Subs)'!D7+'Others (Rental and Subs)'!D13+'Others (Rental and Subs)'!D19</f>
        <v>106.84756581559681</v>
      </c>
      <c r="E25" s="30">
        <f>'Others (Rental and Subs)'!E7+'Others (Rental and Subs)'!E13+'Others (Rental and Subs)'!E19</f>
        <v>113.1102960264825</v>
      </c>
      <c r="F25" s="30">
        <f>'Others (Rental and Subs)'!F7+'Others (Rental and Subs)'!F13+'Others (Rental and Subs)'!F19</f>
        <v>130.25866071668585</v>
      </c>
      <c r="G25" s="30">
        <f>'Others (Rental and Subs)'!G7+'Others (Rental and Subs)'!G13+'Others (Rental and Subs)'!G19</f>
        <v>146.81369689758409</v>
      </c>
      <c r="H25" s="72">
        <f>SUM(D25:G25)</f>
        <v>497.0302194563493</v>
      </c>
      <c r="I25" s="30">
        <f>'Others (Rental and Subs)'!I7+'Others (Rental and Subs)'!I13+'Others (Rental and Subs)'!I19</f>
        <v>126.31755574914371</v>
      </c>
      <c r="J25" s="30">
        <f>'Others (Rental and Subs)'!J7+'Others (Rental and Subs)'!J13+'Others (Rental and Subs)'!J19</f>
        <v>111.67098333101366</v>
      </c>
      <c r="K25" s="30">
        <f>'Others (Rental and Subs)'!K7+'Others (Rental and Subs)'!K13+'Others (Rental and Subs)'!K19</f>
        <v>129.45239238901101</v>
      </c>
      <c r="L25" s="30">
        <f>'Others (Rental and Subs)'!L7+'Others (Rental and Subs)'!L13+'Others (Rental and Subs)'!L19</f>
        <v>126.98116166126674</v>
      </c>
      <c r="M25" s="78">
        <f>SUM(I25:L25)</f>
        <v>494.42209313043514</v>
      </c>
      <c r="N25" s="32">
        <f>'Others (Rental and Subs)'!N7+'Others (Rental and Subs)'!N13+'Others (Rental and Subs)'!N19</f>
        <v>126.50092508689558</v>
      </c>
      <c r="O25" s="32">
        <f>'Others (Rental and Subs)'!O7+'Others (Rental and Subs)'!O13+'Others (Rental and Subs)'!O19</f>
        <v>124.70900909190306</v>
      </c>
      <c r="P25" s="32">
        <f>'Others (Rental and Subs)'!P7+'Others (Rental and Subs)'!P13+'Others (Rental and Subs)'!P19</f>
        <v>71.3815361483624</v>
      </c>
      <c r="Q25" s="32">
        <f>'Others (Rental and Subs)'!Q7+'Others (Rental and Subs)'!Q13+'Others (Rental and Subs)'!Q19</f>
        <v>110.71608818950298</v>
      </c>
      <c r="R25" s="72">
        <f>SUM(N25:Q25)</f>
        <v>433.30755851666402</v>
      </c>
      <c r="S25" s="91">
        <v>102.80782088475905</v>
      </c>
      <c r="T25" s="91">
        <v>85.169727990895552</v>
      </c>
      <c r="U25" s="91">
        <v>94.692103379428062</v>
      </c>
      <c r="V25" s="91">
        <v>127.10253862030615</v>
      </c>
      <c r="W25" s="53">
        <f>SUM(S25:V25)</f>
        <v>409.77219087538879</v>
      </c>
      <c r="X25" s="32">
        <v>84.660633933747761</v>
      </c>
      <c r="Y25" s="32">
        <v>86.399209015823828</v>
      </c>
      <c r="Z25" s="32">
        <v>82.410476698428397</v>
      </c>
      <c r="AA25" s="32">
        <v>125.07154840200025</v>
      </c>
      <c r="AB25" s="53">
        <f>SUM(X25:AA25)</f>
        <v>378.54186805000023</v>
      </c>
      <c r="AC25" s="32">
        <v>84.660633933747761</v>
      </c>
      <c r="AD25" s="32"/>
    </row>
    <row r="26" spans="1:33" hidden="1" x14ac:dyDescent="0.35">
      <c r="A26" s="110" t="s">
        <v>58</v>
      </c>
      <c r="B26" s="56"/>
      <c r="C26" s="56"/>
      <c r="D26" s="93">
        <f>'Others (Rental and Subs)'!D8+'Others (Rental and Subs)'!D14+'Others (Rental and Subs)'!D20</f>
        <v>32.490287998985316</v>
      </c>
      <c r="E26" s="108">
        <f>'Others (Rental and Subs)'!E8+'Others (Rental and Subs)'!E14+'Others (Rental and Subs)'!E20</f>
        <v>50.068192893996162</v>
      </c>
      <c r="F26" s="108">
        <f>'Others (Rental and Subs)'!F8+'Others (Rental and Subs)'!F14+'Others (Rental and Subs)'!F20</f>
        <v>53.890857777584209</v>
      </c>
      <c r="G26" s="108">
        <f>'Others (Rental and Subs)'!G8+'Others (Rental and Subs)'!G14+'Others (Rental and Subs)'!G20</f>
        <v>72.39943177437867</v>
      </c>
      <c r="H26" s="77">
        <f>SUM(D26:G26)</f>
        <v>208.84877044494436</v>
      </c>
      <c r="I26" s="73">
        <f>'Others (Rental and Subs)'!I8+'Others (Rental and Subs)'!I14+'Others (Rental and Subs)'!I20</f>
        <v>46.993817282482311</v>
      </c>
      <c r="J26" s="73">
        <f>'Others (Rental and Subs)'!J8+'Others (Rental and Subs)'!J14+'Others (Rental and Subs)'!J20</f>
        <v>47.632282421890132</v>
      </c>
      <c r="K26" s="73">
        <f>'Others (Rental and Subs)'!K8+'Others (Rental and Subs)'!K14+'Others (Rental and Subs)'!K20</f>
        <v>64.063425592921845</v>
      </c>
      <c r="L26" s="73">
        <f>'Others (Rental and Subs)'!L8+'Others (Rental and Subs)'!L14+'Others (Rental and Subs)'!L20</f>
        <v>41.785307656922974</v>
      </c>
      <c r="M26" s="76">
        <f>SUM(I26:L26)</f>
        <v>200.47483295421728</v>
      </c>
      <c r="N26" s="75">
        <f>'Others (Rental and Subs)'!N8+'Others (Rental and Subs)'!N14+'Others (Rental and Subs)'!N20</f>
        <v>55.647412929497975</v>
      </c>
      <c r="O26" s="75">
        <f>'Others (Rental and Subs)'!O8+'Others (Rental and Subs)'!O14+'Others (Rental and Subs)'!O20</f>
        <v>57.498934118100401</v>
      </c>
      <c r="P26" s="75">
        <f>'Others (Rental and Subs)'!P8+'Others (Rental and Subs)'!P14+'Others (Rental and Subs)'!P20</f>
        <v>-2.6770288192331329</v>
      </c>
      <c r="Q26" s="75">
        <f>'Others (Rental and Subs)'!Q8+'Others (Rental and Subs)'!Q14+'Others (Rental and Subs)'!Q20</f>
        <v>44.142749887246929</v>
      </c>
      <c r="R26" s="77">
        <f>SUM(N26:Q26)</f>
        <v>154.61206811561217</v>
      </c>
      <c r="S26" s="95">
        <v>20.710665508391386</v>
      </c>
      <c r="T26" s="95">
        <v>22.305815339948687</v>
      </c>
      <c r="U26" s="95">
        <v>22.683169934598126</v>
      </c>
      <c r="V26" s="95">
        <v>51.703828513881717</v>
      </c>
      <c r="W26" s="76">
        <f>SUM(S26:V26)</f>
        <v>117.40347929681991</v>
      </c>
      <c r="X26" s="75">
        <v>27.973481044544265</v>
      </c>
      <c r="Y26" s="75">
        <v>17.891044301285504</v>
      </c>
      <c r="Z26" s="75">
        <v>-1.3071449398297617</v>
      </c>
      <c r="AA26" s="75">
        <v>40.646801944000217</v>
      </c>
      <c r="AB26" s="76">
        <f>SUM(X26:AA26)</f>
        <v>85.204182350000224</v>
      </c>
      <c r="AC26" s="75">
        <v>27.973481044544265</v>
      </c>
      <c r="AD26" s="75"/>
    </row>
    <row r="27" spans="1:33" hidden="1" x14ac:dyDescent="0.35">
      <c r="A27" s="111" t="s">
        <v>38</v>
      </c>
      <c r="B27" s="56"/>
      <c r="C27" s="56"/>
      <c r="D27" s="46">
        <f t="shared" ref="D27:W27" si="18">D26/D24</f>
        <v>8.9117416051083892E-2</v>
      </c>
      <c r="E27" s="46">
        <f t="shared" si="18"/>
        <v>0.14285067158473794</v>
      </c>
      <c r="F27" s="46">
        <f t="shared" si="18"/>
        <v>0.14255738812660756</v>
      </c>
      <c r="G27" s="46">
        <f t="shared" si="18"/>
        <v>0.18438909277269858</v>
      </c>
      <c r="H27" s="47">
        <f t="shared" si="18"/>
        <v>0.140568310825049</v>
      </c>
      <c r="I27" s="46">
        <f t="shared" si="18"/>
        <v>0.12660425069195452</v>
      </c>
      <c r="J27" s="46">
        <f t="shared" si="18"/>
        <v>0.12829907977264893</v>
      </c>
      <c r="K27" s="46">
        <f t="shared" si="18"/>
        <v>0.15192146308806004</v>
      </c>
      <c r="L27" s="46">
        <f t="shared" si="18"/>
        <v>9.6310917553770484E-2</v>
      </c>
      <c r="M27" s="47">
        <f t="shared" si="18"/>
        <v>0.12545415897114193</v>
      </c>
      <c r="N27" s="46">
        <f t="shared" si="18"/>
        <v>0.13144832334063827</v>
      </c>
      <c r="O27" s="46">
        <f t="shared" si="18"/>
        <v>0.12950182360835572</v>
      </c>
      <c r="P27" s="46">
        <f t="shared" si="18"/>
        <v>-5.953153078802253E-3</v>
      </c>
      <c r="Q27" s="46">
        <f t="shared" si="18"/>
        <v>8.8364809685318763E-2</v>
      </c>
      <c r="R27" s="47">
        <f t="shared" si="18"/>
        <v>8.511184038412048E-2</v>
      </c>
      <c r="S27" s="46">
        <f t="shared" si="18"/>
        <v>4.8383676538997979E-2</v>
      </c>
      <c r="T27" s="46">
        <f t="shared" si="18"/>
        <v>5.1605783400750789E-2</v>
      </c>
      <c r="U27" s="46">
        <f t="shared" si="18"/>
        <v>5.3714736411845494E-2</v>
      </c>
      <c r="V27" s="46">
        <f t="shared" si="18"/>
        <v>0.12095155892019738</v>
      </c>
      <c r="W27" s="47">
        <f t="shared" si="18"/>
        <v>6.8654978229042915E-2</v>
      </c>
      <c r="X27" s="46">
        <f>X26/X24</f>
        <v>6.8373644848794227E-2</v>
      </c>
      <c r="Y27" s="46">
        <f>Y26/Y24</f>
        <v>4.179462046172995E-2</v>
      </c>
      <c r="Z27" s="46">
        <f>Z26/Z24</f>
        <v>-3.2871493062591826E-3</v>
      </c>
      <c r="AA27" s="46">
        <f t="shared" ref="AA27:AB27" si="19">AA26/AA24</f>
        <v>9.5710055308898909E-2</v>
      </c>
      <c r="AB27" s="47">
        <f t="shared" si="19"/>
        <v>5.1342138813694739E-2</v>
      </c>
      <c r="AC27" s="46">
        <f>AC26/AC24</f>
        <v>6.8373644848794227E-2</v>
      </c>
      <c r="AD27" s="46"/>
    </row>
    <row r="28" spans="1:33" hidden="1" x14ac:dyDescent="0.35">
      <c r="A28" s="96" t="s">
        <v>60</v>
      </c>
      <c r="B28" s="56"/>
      <c r="C28" s="56"/>
      <c r="D28" s="109">
        <v>-7.9271123183345313</v>
      </c>
      <c r="E28" s="109">
        <v>6.5865362617977556</v>
      </c>
      <c r="F28" s="109">
        <v>12.798792918966374</v>
      </c>
      <c r="G28" s="109">
        <v>28.313482244434521</v>
      </c>
      <c r="H28" s="31">
        <f t="shared" ref="H28" si="20">SUM(D28:G28)</f>
        <v>39.771699106864119</v>
      </c>
      <c r="I28" s="30">
        <v>14.642576564482312</v>
      </c>
      <c r="J28" s="30">
        <v>14.74850848789017</v>
      </c>
      <c r="K28" s="30">
        <v>27.165139050115314</v>
      </c>
      <c r="L28" s="30">
        <v>8.5732986354859335</v>
      </c>
      <c r="M28" s="31">
        <f t="shared" ref="M28" si="21">SUM(I28:L28)</f>
        <v>65.12952273797373</v>
      </c>
      <c r="N28" s="30">
        <v>20.46766499303796</v>
      </c>
      <c r="O28" s="30">
        <v>18.792937156847973</v>
      </c>
      <c r="P28" s="30">
        <v>-32.984777879311942</v>
      </c>
      <c r="Q28" s="30">
        <v>-21.209131697721411</v>
      </c>
      <c r="R28" s="31">
        <f t="shared" ref="R28" si="22">SUM(N28:Q28)</f>
        <v>-14.933307427147419</v>
      </c>
      <c r="S28" s="52">
        <v>-13.407333159092303</v>
      </c>
      <c r="T28" s="52">
        <v>-13.611806195618289</v>
      </c>
      <c r="U28" s="52">
        <v>-11.534007975120655</v>
      </c>
      <c r="V28" s="52">
        <v>22.047566241563302</v>
      </c>
      <c r="W28" s="53">
        <f>SUM(S28:V28)</f>
        <v>-16.505581088267945</v>
      </c>
      <c r="X28" s="30">
        <v>3.7200778753264601</v>
      </c>
      <c r="Y28" s="30">
        <v>-6.4630376786622392</v>
      </c>
      <c r="Z28" s="30">
        <v>-25.593622365664217</v>
      </c>
      <c r="AA28" s="30">
        <v>14.299448619000216</v>
      </c>
      <c r="AB28" s="53">
        <f>SUM(X28:AA28)</f>
        <v>-14.03713354999978</v>
      </c>
      <c r="AC28" s="30">
        <v>3.7200778753264601</v>
      </c>
      <c r="AD28" s="30"/>
    </row>
    <row r="29" spans="1:33" hidden="1" x14ac:dyDescent="0.35">
      <c r="A29" s="96" t="s">
        <v>76</v>
      </c>
      <c r="B29" s="56"/>
      <c r="C29" s="56"/>
      <c r="D29" s="30"/>
      <c r="E29" s="30"/>
      <c r="F29" s="30"/>
      <c r="G29" s="30"/>
      <c r="H29" s="31"/>
      <c r="I29" s="30"/>
      <c r="J29" s="30"/>
      <c r="K29" s="30"/>
      <c r="L29" s="30"/>
      <c r="M29" s="31"/>
      <c r="N29" s="30"/>
      <c r="O29" s="30"/>
      <c r="P29" s="30"/>
      <c r="Q29" s="30"/>
      <c r="R29" s="31"/>
      <c r="S29" s="52">
        <v>4.0708473529999996</v>
      </c>
      <c r="T29" s="52">
        <v>14.974332818999999</v>
      </c>
      <c r="U29" s="52">
        <v>3.777642901310001</v>
      </c>
      <c r="V29" s="52">
        <v>1.4544156449999974</v>
      </c>
      <c r="W29" s="53">
        <f>SUM(S29:V29)</f>
        <v>24.277238718309995</v>
      </c>
      <c r="X29" s="30">
        <v>2.2676534249999993</v>
      </c>
      <c r="Y29" s="30">
        <v>1.6080907596679026</v>
      </c>
      <c r="Z29" s="30">
        <v>1.6080907596679026</v>
      </c>
      <c r="AA29" s="30">
        <v>1.6080907596679026</v>
      </c>
      <c r="AB29" s="53">
        <f>SUM(X29:AA29)</f>
        <v>7.0919257040037067</v>
      </c>
      <c r="AC29" s="30">
        <v>2.2676534249999993</v>
      </c>
      <c r="AD29" s="30"/>
    </row>
    <row r="30" spans="1:33" hidden="1" x14ac:dyDescent="0.35">
      <c r="A30" s="96" t="s">
        <v>69</v>
      </c>
      <c r="D30" s="30">
        <f t="shared" ref="D30:AC30" si="23">D26-D29</f>
        <v>32.490287998985316</v>
      </c>
      <c r="E30" s="30">
        <f t="shared" si="23"/>
        <v>50.068192893996162</v>
      </c>
      <c r="F30" s="30">
        <f t="shared" si="23"/>
        <v>53.890857777584209</v>
      </c>
      <c r="G30" s="30">
        <f t="shared" si="23"/>
        <v>72.39943177437867</v>
      </c>
      <c r="H30" s="31">
        <f t="shared" si="23"/>
        <v>208.84877044494436</v>
      </c>
      <c r="I30" s="30">
        <f t="shared" si="23"/>
        <v>46.993817282482311</v>
      </c>
      <c r="J30" s="30">
        <f t="shared" si="23"/>
        <v>47.632282421890132</v>
      </c>
      <c r="K30" s="30">
        <f t="shared" si="23"/>
        <v>64.063425592921845</v>
      </c>
      <c r="L30" s="30">
        <f t="shared" si="23"/>
        <v>41.785307656922974</v>
      </c>
      <c r="M30" s="31">
        <f t="shared" si="23"/>
        <v>200.47483295421728</v>
      </c>
      <c r="N30" s="30">
        <f t="shared" si="23"/>
        <v>55.647412929497975</v>
      </c>
      <c r="O30" s="30">
        <f t="shared" si="23"/>
        <v>57.498934118100401</v>
      </c>
      <c r="P30" s="30">
        <f t="shared" si="23"/>
        <v>-2.6770288192331329</v>
      </c>
      <c r="Q30" s="30">
        <f t="shared" si="23"/>
        <v>44.142749887246929</v>
      </c>
      <c r="R30" s="31">
        <f t="shared" si="23"/>
        <v>154.61206811561217</v>
      </c>
      <c r="S30" s="52">
        <f t="shared" si="23"/>
        <v>16.639818155391389</v>
      </c>
      <c r="T30" s="52">
        <f t="shared" si="23"/>
        <v>7.331482520948688</v>
      </c>
      <c r="U30" s="52">
        <f t="shared" si="23"/>
        <v>18.905527033288124</v>
      </c>
      <c r="V30" s="52">
        <f t="shared" si="23"/>
        <v>50.24941286888172</v>
      </c>
      <c r="W30" s="53">
        <f t="shared" si="23"/>
        <v>93.126240578509908</v>
      </c>
      <c r="X30" s="52">
        <f t="shared" si="23"/>
        <v>25.705827619544266</v>
      </c>
      <c r="Y30" s="52">
        <f t="shared" si="23"/>
        <v>16.282953541617601</v>
      </c>
      <c r="Z30" s="52">
        <f t="shared" si="23"/>
        <v>-2.9152356994976643</v>
      </c>
      <c r="AA30" s="52">
        <f t="shared" si="23"/>
        <v>39.038711184332314</v>
      </c>
      <c r="AB30" s="53">
        <f t="shared" si="23"/>
        <v>78.112256645996524</v>
      </c>
      <c r="AC30" s="52">
        <f t="shared" si="23"/>
        <v>25.705827619544266</v>
      </c>
      <c r="AD30" s="52"/>
    </row>
    <row r="31" spans="1:33" hidden="1" x14ac:dyDescent="0.35"/>
    <row r="32" spans="1:33" hidden="1" x14ac:dyDescent="0.35"/>
    <row r="33" spans="1:1" ht="43.5" x14ac:dyDescent="0.35">
      <c r="A33" s="112" t="s">
        <v>77</v>
      </c>
    </row>
  </sheetData>
  <hyperlinks>
    <hyperlink ref="B1" location="Index!A1" display="Index" xr:uid="{F5FA6399-76DA-4447-B37F-6B85BD52FCB9}"/>
  </hyperlinks>
  <pageMargins left="0.7" right="0.7" top="0.75" bottom="0.75" header="0.3" footer="0.3"/>
  <pageSetup paperSize="9" orientation="portrait" r:id="rId1"/>
  <headerFooter>
    <oddFooter>&amp;L_x000D_&amp;1#&amp;"Calibri"&amp;10&amp;K000000 Tata Communications -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231E-6DCD-44E8-972E-9E8071CD43C9}">
  <sheetPr codeName="Sheet5"/>
  <dimension ref="A1:AE34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D1" sqref="AD1"/>
    </sheetView>
  </sheetViews>
  <sheetFormatPr defaultRowHeight="14.5" outlineLevelCol="1" x14ac:dyDescent="0.35"/>
  <cols>
    <col min="1" max="1" width="40.1796875" customWidth="1"/>
    <col min="2" max="2" width="5.7265625" customWidth="1"/>
    <col min="3" max="3" width="0.81640625" customWidth="1"/>
    <col min="4" max="7" width="9.1796875" style="16" hidden="1" customWidth="1" outlineLevel="1"/>
    <col min="8" max="8" width="8.7265625" style="17" collapsed="1"/>
    <col min="9" max="12" width="9.1796875" style="16" hidden="1" customWidth="1" outlineLevel="1"/>
    <col min="13" max="13" width="8.7265625" style="17" collapsed="1"/>
    <col min="14" max="17" width="9.1796875" style="16" hidden="1" customWidth="1" outlineLevel="1"/>
    <col min="18" max="18" width="8.7265625" style="17" collapsed="1"/>
    <col min="19" max="22" width="9.1796875" style="16" hidden="1" customWidth="1" outlineLevel="1"/>
    <col min="23" max="23" width="8.7265625" style="17" collapsed="1"/>
    <col min="24" max="27" width="9.1796875" style="16" hidden="1" customWidth="1" outlineLevel="1"/>
    <col min="28" max="28" width="8.7265625" style="17" collapsed="1"/>
    <col min="29" max="30" width="9.1796875" style="16" customWidth="1" outlineLevel="1"/>
  </cols>
  <sheetData>
    <row r="1" spans="1:31" ht="18.75" customHeight="1" x14ac:dyDescent="0.45">
      <c r="A1" s="13" t="s">
        <v>8</v>
      </c>
      <c r="B1" s="64" t="s">
        <v>9</v>
      </c>
      <c r="C1" s="65"/>
      <c r="J1" s="26"/>
    </row>
    <row r="2" spans="1:31" ht="15.5" x14ac:dyDescent="0.35">
      <c r="A2" s="18" t="s">
        <v>78</v>
      </c>
      <c r="B2" s="18"/>
      <c r="C2" s="18"/>
    </row>
    <row r="3" spans="1:31" ht="15.5" x14ac:dyDescent="0.35">
      <c r="A3" s="18"/>
      <c r="B3" s="18"/>
      <c r="C3" s="18"/>
    </row>
    <row r="4" spans="1:31" x14ac:dyDescent="0.35">
      <c r="A4" s="89" t="s">
        <v>11</v>
      </c>
      <c r="B4" s="20"/>
      <c r="C4" s="20"/>
      <c r="D4" s="22">
        <v>42916</v>
      </c>
      <c r="E4" s="22">
        <v>43008</v>
      </c>
      <c r="F4" s="22">
        <v>43100</v>
      </c>
      <c r="G4" s="22">
        <v>43190</v>
      </c>
      <c r="H4" s="23" t="s">
        <v>13</v>
      </c>
      <c r="I4" s="22">
        <v>43281</v>
      </c>
      <c r="J4" s="22">
        <v>43373</v>
      </c>
      <c r="K4" s="22">
        <v>43465</v>
      </c>
      <c r="L4" s="22">
        <v>43555</v>
      </c>
      <c r="M4" s="23" t="s">
        <v>14</v>
      </c>
      <c r="N4" s="22">
        <v>43646</v>
      </c>
      <c r="O4" s="22">
        <v>43738</v>
      </c>
      <c r="P4" s="22">
        <v>43830</v>
      </c>
      <c r="Q4" s="22">
        <v>43921</v>
      </c>
      <c r="R4" s="23" t="s">
        <v>15</v>
      </c>
      <c r="S4" s="22">
        <v>44012</v>
      </c>
      <c r="T4" s="22">
        <v>44104</v>
      </c>
      <c r="U4" s="22">
        <v>44196</v>
      </c>
      <c r="V4" s="22">
        <v>44286</v>
      </c>
      <c r="W4" s="23" t="s">
        <v>16</v>
      </c>
      <c r="X4" s="22">
        <v>44377</v>
      </c>
      <c r="Y4" s="22">
        <v>44469</v>
      </c>
      <c r="Z4" s="22">
        <v>44560</v>
      </c>
      <c r="AA4" s="22">
        <v>44650</v>
      </c>
      <c r="AB4" s="23" t="s">
        <v>17</v>
      </c>
      <c r="AC4" s="22">
        <v>44742</v>
      </c>
      <c r="AD4" s="22">
        <v>44834</v>
      </c>
    </row>
    <row r="5" spans="1:31" ht="15.5" x14ac:dyDescent="0.35">
      <c r="A5" s="90" t="s">
        <v>79</v>
      </c>
      <c r="B5" s="20"/>
      <c r="C5" s="20"/>
      <c r="D5" s="26"/>
      <c r="E5" s="26"/>
      <c r="F5" s="26"/>
      <c r="H5" s="27"/>
      <c r="I5" s="26"/>
      <c r="J5" s="26"/>
      <c r="K5" s="26"/>
      <c r="L5" s="26"/>
      <c r="M5" s="27"/>
      <c r="N5" s="26"/>
      <c r="O5" s="26"/>
      <c r="P5" s="26"/>
      <c r="Q5" s="26"/>
      <c r="R5" s="27"/>
      <c r="S5" s="26"/>
      <c r="T5" s="26"/>
      <c r="U5" s="26"/>
      <c r="V5" s="26"/>
      <c r="W5" s="27"/>
      <c r="X5" s="26"/>
      <c r="Y5" s="26"/>
      <c r="Z5" s="26"/>
      <c r="AA5" s="26"/>
      <c r="AB5" s="27"/>
      <c r="AC5" s="26"/>
      <c r="AD5" s="26"/>
    </row>
    <row r="6" spans="1:31" x14ac:dyDescent="0.35">
      <c r="A6" s="70" t="s">
        <v>56</v>
      </c>
      <c r="B6" s="71"/>
      <c r="C6" s="71"/>
      <c r="D6" s="52">
        <v>1967.1030083953226</v>
      </c>
      <c r="E6" s="52">
        <v>1910.4879864262623</v>
      </c>
      <c r="F6" s="52">
        <v>1955.7300470858772</v>
      </c>
      <c r="G6" s="52">
        <v>1908.4949451521015</v>
      </c>
      <c r="H6" s="53">
        <f>SUM(D6:G6)</f>
        <v>7741.8159870595637</v>
      </c>
      <c r="I6" s="30">
        <v>1948.9313021212015</v>
      </c>
      <c r="J6" s="30">
        <v>2015.0303394707989</v>
      </c>
      <c r="K6" s="32">
        <v>2157.9015014339971</v>
      </c>
      <c r="L6" s="32">
        <v>2086.4578546044122</v>
      </c>
      <c r="M6" s="31">
        <f>SUM(I6:L6)</f>
        <v>8208.3209976304097</v>
      </c>
      <c r="N6" s="32">
        <v>2068.0336440514479</v>
      </c>
      <c r="O6" s="32">
        <v>2160.8473685149497</v>
      </c>
      <c r="P6" s="32">
        <v>2159.4601691844609</v>
      </c>
      <c r="Q6" s="32">
        <v>2196.2180429390228</v>
      </c>
      <c r="R6" s="31">
        <f>SUM(N6:Q6)</f>
        <v>8584.5592246898814</v>
      </c>
      <c r="S6" s="91">
        <v>2193.4129290843557</v>
      </c>
      <c r="T6" s="91">
        <v>2232.7556887995197</v>
      </c>
      <c r="U6" s="91">
        <v>2249.2088473993708</v>
      </c>
      <c r="V6" s="91">
        <v>2235.9216429100397</v>
      </c>
      <c r="W6" s="53">
        <f>SUM(S6:V6)</f>
        <v>8911.2991081932851</v>
      </c>
      <c r="X6" s="91">
        <v>2230.7377717914815</v>
      </c>
      <c r="Y6" s="91">
        <v>2240.7512463665184</v>
      </c>
      <c r="Z6" s="91">
        <v>2277.6702821309991</v>
      </c>
      <c r="AA6" s="91">
        <v>2288.5063704110003</v>
      </c>
      <c r="AB6" s="53">
        <f>SUM(X6:AA6)</f>
        <v>9037.6656706999984</v>
      </c>
      <c r="AC6" s="91">
        <v>2310.714983742605</v>
      </c>
      <c r="AD6" s="91">
        <v>2373.929700610593</v>
      </c>
      <c r="AE6" s="92"/>
    </row>
    <row r="7" spans="1:31" x14ac:dyDescent="0.35">
      <c r="A7" s="70" t="s">
        <v>57</v>
      </c>
      <c r="B7" s="71"/>
      <c r="C7" s="71"/>
      <c r="D7" s="52">
        <v>1582.7386968912388</v>
      </c>
      <c r="E7" s="52">
        <v>1563.5235675662075</v>
      </c>
      <c r="F7" s="52">
        <v>1592.956863957414</v>
      </c>
      <c r="G7" s="52">
        <v>1559.5859332250457</v>
      </c>
      <c r="H7" s="53">
        <f>SUM(D7:G7)</f>
        <v>6298.8050616399059</v>
      </c>
      <c r="I7" s="30">
        <v>1555.7578916995237</v>
      </c>
      <c r="J7" s="30">
        <v>1623.2906163137102</v>
      </c>
      <c r="K7" s="32">
        <v>1763.4184107266283</v>
      </c>
      <c r="L7" s="32">
        <v>1740.1846887811662</v>
      </c>
      <c r="M7" s="31">
        <f>SUM(I7:L7)</f>
        <v>6682.6516075210284</v>
      </c>
      <c r="N7" s="32">
        <v>1699.5219769650068</v>
      </c>
      <c r="O7" s="32">
        <v>1746.7105083311553</v>
      </c>
      <c r="P7" s="32">
        <v>1747.5520553411848</v>
      </c>
      <c r="Q7" s="32">
        <v>1779.7943559291762</v>
      </c>
      <c r="R7" s="31">
        <f>SUM(N7:Q7)</f>
        <v>6973.5788965665233</v>
      </c>
      <c r="S7" s="91">
        <v>1779.3484677859228</v>
      </c>
      <c r="T7" s="91">
        <v>1827.5015357610994</v>
      </c>
      <c r="U7" s="91">
        <v>1844.6116264499233</v>
      </c>
      <c r="V7" s="91">
        <v>1855.9089873388248</v>
      </c>
      <c r="W7" s="53">
        <f>SUM(S7:V7)</f>
        <v>7307.3706173357705</v>
      </c>
      <c r="X7" s="91">
        <v>1786.914633384087</v>
      </c>
      <c r="Y7" s="91">
        <v>1806.9223683365681</v>
      </c>
      <c r="Z7" s="91">
        <v>1859.373680300713</v>
      </c>
      <c r="AA7" s="91">
        <v>1878.4177056895433</v>
      </c>
      <c r="AB7" s="53">
        <f>SUM(X7:AA7)</f>
        <v>7331.6283877109117</v>
      </c>
      <c r="AC7" s="91">
        <v>1883.5674466092291</v>
      </c>
      <c r="AD7" s="91">
        <v>1929.4330347370967</v>
      </c>
    </row>
    <row r="8" spans="1:31" x14ac:dyDescent="0.35">
      <c r="A8" s="70" t="s">
        <v>58</v>
      </c>
      <c r="B8" s="71"/>
      <c r="C8" s="71"/>
      <c r="D8" s="93">
        <v>577.14053305505126</v>
      </c>
      <c r="E8" s="93">
        <v>534.68385811475639</v>
      </c>
      <c r="F8" s="93">
        <v>629.12172082368704</v>
      </c>
      <c r="G8" s="93">
        <v>591.37782822566203</v>
      </c>
      <c r="H8" s="94">
        <f>SUM(D8:G8)</f>
        <v>2332.3239402191571</v>
      </c>
      <c r="I8" s="73">
        <v>610.56281647533092</v>
      </c>
      <c r="J8" s="73">
        <v>583.75235455737402</v>
      </c>
      <c r="K8" s="75">
        <v>852.34459046794359</v>
      </c>
      <c r="L8" s="75">
        <v>652.57790154357326</v>
      </c>
      <c r="M8" s="77">
        <f>SUM(I8:L8)</f>
        <v>2699.2376630442218</v>
      </c>
      <c r="N8" s="75">
        <v>795.18900064522427</v>
      </c>
      <c r="O8" s="75">
        <v>817.00703949824026</v>
      </c>
      <c r="P8" s="75">
        <v>812.77820677678619</v>
      </c>
      <c r="Q8" s="75">
        <v>812.44992237344013</v>
      </c>
      <c r="R8" s="77">
        <f>SUM(N8:Q8)</f>
        <v>3237.4241692936907</v>
      </c>
      <c r="S8" s="95">
        <v>948.14326576870872</v>
      </c>
      <c r="T8" s="95">
        <v>1019.7638485850975</v>
      </c>
      <c r="U8" s="95">
        <v>986.82278086359202</v>
      </c>
      <c r="V8" s="95">
        <v>977.05102191431149</v>
      </c>
      <c r="W8" s="76">
        <f>SUM(S8:V8)</f>
        <v>3931.7809171317099</v>
      </c>
      <c r="X8" s="95">
        <v>957.35544119229451</v>
      </c>
      <c r="Y8" s="95">
        <v>1029.4287450323425</v>
      </c>
      <c r="Z8" s="95">
        <v>1018.1742830626877</v>
      </c>
      <c r="AA8" s="95">
        <v>981.9272248289717</v>
      </c>
      <c r="AB8" s="76">
        <f>SUM(X8:AA8)</f>
        <v>3986.8856941162962</v>
      </c>
      <c r="AC8" s="95">
        <v>982.74467204302027</v>
      </c>
      <c r="AD8" s="95">
        <v>1106.6560430717493</v>
      </c>
      <c r="AE8" s="92"/>
    </row>
    <row r="9" spans="1:31" s="28" customFormat="1" x14ac:dyDescent="0.35">
      <c r="A9" s="70" t="s">
        <v>38</v>
      </c>
      <c r="D9" s="46">
        <f t="shared" ref="D9:G9" si="0">D8/D6</f>
        <v>0.29339619256942601</v>
      </c>
      <c r="E9" s="46">
        <f t="shared" si="0"/>
        <v>0.27986768925719868</v>
      </c>
      <c r="F9" s="46">
        <f t="shared" si="0"/>
        <v>0.32168126769903943</v>
      </c>
      <c r="G9" s="46">
        <f t="shared" si="0"/>
        <v>0.30986606997721489</v>
      </c>
      <c r="H9" s="47">
        <f>H8/H6</f>
        <v>0.30126315894328071</v>
      </c>
      <c r="I9" s="46">
        <f>I8/I6</f>
        <v>0.31328083027390402</v>
      </c>
      <c r="J9" s="46">
        <f t="shared" ref="J9:L9" si="1">J8/J6</f>
        <v>0.2896990398222406</v>
      </c>
      <c r="K9" s="46">
        <f t="shared" si="1"/>
        <v>0.39498771834651969</v>
      </c>
      <c r="L9" s="46">
        <f t="shared" si="1"/>
        <v>0.31276831214369322</v>
      </c>
      <c r="M9" s="47">
        <f>M8/M6</f>
        <v>0.32884163080652445</v>
      </c>
      <c r="N9" s="46">
        <f t="shared" ref="N9:AA9" si="2">N8/N6</f>
        <v>0.38451453772646738</v>
      </c>
      <c r="O9" s="46">
        <f t="shared" si="2"/>
        <v>0.37809567274514688</v>
      </c>
      <c r="P9" s="46">
        <f t="shared" si="2"/>
        <v>0.37638027242879823</v>
      </c>
      <c r="Q9" s="46">
        <f t="shared" si="2"/>
        <v>0.36993135767439717</v>
      </c>
      <c r="R9" s="47">
        <f t="shared" si="2"/>
        <v>0.37712176997772917</v>
      </c>
      <c r="S9" s="46">
        <f t="shared" si="2"/>
        <v>0.43226847676352165</v>
      </c>
      <c r="T9" s="46">
        <f t="shared" si="2"/>
        <v>0.45672880991891751</v>
      </c>
      <c r="U9" s="46">
        <f t="shared" si="2"/>
        <v>0.43874217461157405</v>
      </c>
      <c r="V9" s="46">
        <f t="shared" si="2"/>
        <v>0.43697909764077641</v>
      </c>
      <c r="W9" s="47">
        <f>W8/W6</f>
        <v>0.44121298919444035</v>
      </c>
      <c r="X9" s="46">
        <f t="shared" si="2"/>
        <v>0.42916538792609976</v>
      </c>
      <c r="Y9" s="46">
        <f t="shared" si="2"/>
        <v>0.45941232731728193</v>
      </c>
      <c r="Z9" s="46">
        <f t="shared" si="2"/>
        <v>0.44702444030225436</v>
      </c>
      <c r="AA9" s="46">
        <f t="shared" si="2"/>
        <v>0.42906903713474226</v>
      </c>
      <c r="AB9" s="47">
        <f>AB8/AB6</f>
        <v>0.44114109100558246</v>
      </c>
      <c r="AC9" s="46">
        <f>AC8/AC6</f>
        <v>0.42529895679790602</v>
      </c>
      <c r="AD9" s="46">
        <f>AD8/AD6</f>
        <v>0.46617052003987686</v>
      </c>
    </row>
    <row r="10" spans="1:31" s="28" customFormat="1" x14ac:dyDescent="0.35">
      <c r="A10" s="16"/>
      <c r="D10" s="46"/>
      <c r="E10" s="46"/>
      <c r="F10" s="46"/>
      <c r="G10" s="46"/>
      <c r="H10" s="47"/>
      <c r="I10" s="46"/>
      <c r="J10" s="46"/>
      <c r="K10" s="46"/>
      <c r="L10" s="46"/>
      <c r="M10" s="47"/>
      <c r="N10" s="46"/>
      <c r="O10" s="46"/>
      <c r="P10" s="46"/>
      <c r="Q10" s="46"/>
      <c r="R10" s="47"/>
      <c r="S10" s="46"/>
      <c r="T10" s="46"/>
      <c r="U10" s="46"/>
      <c r="V10" s="46"/>
      <c r="W10" s="47"/>
      <c r="X10" s="46"/>
      <c r="Y10" s="46"/>
      <c r="Z10" s="46"/>
      <c r="AA10" s="46"/>
      <c r="AB10" s="47"/>
      <c r="AC10" s="46"/>
      <c r="AD10" s="46"/>
    </row>
    <row r="11" spans="1:31" s="28" customFormat="1" x14ac:dyDescent="0.35">
      <c r="A11" s="33" t="s">
        <v>80</v>
      </c>
      <c r="D11" s="46"/>
      <c r="E11" s="46"/>
      <c r="F11" s="46"/>
      <c r="G11" s="46"/>
      <c r="H11" s="47"/>
      <c r="I11" s="46"/>
      <c r="J11" s="46"/>
      <c r="K11" s="46"/>
      <c r="L11" s="46"/>
      <c r="M11" s="47"/>
      <c r="N11" s="46"/>
      <c r="O11" s="46"/>
      <c r="P11" s="46"/>
      <c r="Q11" s="46"/>
      <c r="R11" s="47"/>
      <c r="S11" s="46"/>
      <c r="T11" s="46"/>
      <c r="U11" s="46"/>
      <c r="V11" s="46"/>
      <c r="W11" s="47"/>
      <c r="X11" s="46"/>
      <c r="Y11" s="46"/>
      <c r="Z11" s="46"/>
      <c r="AA11" s="46"/>
      <c r="AB11" s="47"/>
      <c r="AC11" s="46"/>
      <c r="AD11" s="46"/>
    </row>
    <row r="12" spans="1:31" s="28" customFormat="1" x14ac:dyDescent="0.35">
      <c r="A12" s="70" t="s">
        <v>81</v>
      </c>
      <c r="D12" s="46"/>
      <c r="E12" s="46"/>
      <c r="F12" s="46"/>
      <c r="G12" s="46"/>
      <c r="H12" s="47"/>
      <c r="I12" s="46"/>
      <c r="J12" s="46"/>
      <c r="K12" s="46"/>
      <c r="L12" s="46"/>
      <c r="M12" s="47"/>
      <c r="N12" s="46"/>
      <c r="O12" s="46"/>
      <c r="P12" s="46"/>
      <c r="Q12" s="46"/>
      <c r="R12" s="47"/>
      <c r="S12" s="46">
        <v>0.40700115295544304</v>
      </c>
      <c r="T12" s="46">
        <v>0.3917645284130436</v>
      </c>
      <c r="U12" s="46">
        <v>0.39586109513677692</v>
      </c>
      <c r="V12" s="46">
        <v>0.39640988549411699</v>
      </c>
      <c r="W12" s="47">
        <v>0.39771319696561525</v>
      </c>
      <c r="X12" s="46">
        <v>0.38716576053858609</v>
      </c>
      <c r="Y12" s="46">
        <v>0.38301536157839777</v>
      </c>
      <c r="Z12" s="46">
        <v>0.38743592284806111</v>
      </c>
      <c r="AA12" s="46">
        <v>0.38676126938110256</v>
      </c>
      <c r="AB12" s="47">
        <v>0.3861023938607262</v>
      </c>
      <c r="AC12" s="46">
        <v>0.38833940577874237</v>
      </c>
      <c r="AD12" s="46">
        <v>0.36242406612327072</v>
      </c>
    </row>
    <row r="13" spans="1:31" s="28" customFormat="1" x14ac:dyDescent="0.35">
      <c r="A13" s="70" t="s">
        <v>35</v>
      </c>
      <c r="D13" s="46"/>
      <c r="E13" s="46"/>
      <c r="F13" s="46"/>
      <c r="G13" s="46"/>
      <c r="H13" s="47"/>
      <c r="I13" s="46"/>
      <c r="J13" s="46"/>
      <c r="K13" s="46"/>
      <c r="L13" s="46"/>
      <c r="M13" s="47"/>
      <c r="N13" s="46"/>
      <c r="O13" s="46"/>
      <c r="P13" s="46"/>
      <c r="Q13" s="46"/>
      <c r="R13" s="47"/>
      <c r="S13" s="46">
        <v>0.59299884704455696</v>
      </c>
      <c r="T13" s="46">
        <v>0.60823547158695646</v>
      </c>
      <c r="U13" s="46">
        <v>0.60413890486322308</v>
      </c>
      <c r="V13" s="46">
        <v>0.60359011450588307</v>
      </c>
      <c r="W13" s="47">
        <v>0.60228680303438475</v>
      </c>
      <c r="X13" s="46">
        <v>0.61283423946141391</v>
      </c>
      <c r="Y13" s="46">
        <v>0.61698463842160223</v>
      </c>
      <c r="Z13" s="46">
        <v>0.61256407715193895</v>
      </c>
      <c r="AA13" s="46">
        <v>0.61323873061889733</v>
      </c>
      <c r="AB13" s="47">
        <v>0.6138976061392738</v>
      </c>
      <c r="AC13" s="46">
        <v>0.61166059422125763</v>
      </c>
      <c r="AD13" s="46">
        <v>0.63757593387672928</v>
      </c>
    </row>
    <row r="14" spans="1:31" x14ac:dyDescent="0.35">
      <c r="A14" s="56"/>
      <c r="B14" s="56"/>
      <c r="C14" s="56"/>
      <c r="D14" s="113"/>
      <c r="E14" s="113"/>
      <c r="F14" s="113"/>
      <c r="G14" s="113"/>
      <c r="H14" s="114"/>
      <c r="I14" s="113"/>
      <c r="J14" s="113"/>
      <c r="K14" s="113"/>
      <c r="L14" s="113"/>
      <c r="M14" s="114"/>
      <c r="N14" s="113"/>
      <c r="O14" s="113"/>
      <c r="P14" s="113"/>
      <c r="Q14" s="113"/>
      <c r="R14" s="114"/>
      <c r="S14" s="115"/>
      <c r="T14" s="115"/>
      <c r="U14" s="115"/>
      <c r="V14" s="115"/>
      <c r="W14" s="116"/>
      <c r="X14" s="115"/>
      <c r="Y14" s="115"/>
      <c r="Z14" s="115"/>
      <c r="AA14" s="115"/>
      <c r="AB14" s="116"/>
      <c r="AC14" s="115"/>
      <c r="AD14" s="115"/>
    </row>
    <row r="15" spans="1:31" ht="15.5" x14ac:dyDescent="0.35">
      <c r="A15" s="90" t="s">
        <v>82</v>
      </c>
      <c r="B15" s="18"/>
      <c r="C15" s="18"/>
      <c r="D15" s="113"/>
      <c r="E15" s="113"/>
      <c r="F15" s="113"/>
      <c r="G15" s="113"/>
      <c r="H15" s="114"/>
      <c r="I15" s="113"/>
      <c r="J15" s="113"/>
      <c r="K15" s="113"/>
      <c r="L15" s="113"/>
      <c r="M15" s="114"/>
      <c r="N15" s="113"/>
      <c r="O15" s="113"/>
      <c r="P15" s="113"/>
      <c r="Q15" s="113"/>
      <c r="R15" s="114"/>
      <c r="S15" s="115"/>
      <c r="T15" s="115"/>
      <c r="U15" s="115"/>
      <c r="V15" s="115"/>
      <c r="W15" s="116"/>
      <c r="X15" s="115"/>
      <c r="Y15" s="115"/>
      <c r="Z15" s="115"/>
      <c r="AA15" s="115"/>
      <c r="AB15" s="116"/>
      <c r="AC15" s="115"/>
      <c r="AD15" s="115"/>
    </row>
    <row r="16" spans="1:31" x14ac:dyDescent="0.35">
      <c r="A16" s="70" t="s">
        <v>56</v>
      </c>
      <c r="B16" s="56"/>
      <c r="C16" s="56"/>
      <c r="D16" s="52">
        <v>474.00441993012731</v>
      </c>
      <c r="E16" s="52">
        <v>551.54892246393524</v>
      </c>
      <c r="F16" s="52">
        <v>580.04088369635701</v>
      </c>
      <c r="G16" s="52">
        <v>624.44412279761696</v>
      </c>
      <c r="H16" s="53">
        <f>SUM(D16:G16)</f>
        <v>2230.0383488880366</v>
      </c>
      <c r="I16" s="30">
        <v>594.40862841936791</v>
      </c>
      <c r="J16" s="30">
        <v>678.59784307627251</v>
      </c>
      <c r="K16" s="32">
        <v>729.72481988195591</v>
      </c>
      <c r="L16" s="32">
        <v>779.82490888301754</v>
      </c>
      <c r="M16" s="31">
        <f>SUM(I16:L16)</f>
        <v>2782.5562002606139</v>
      </c>
      <c r="N16" s="32">
        <v>767.95660115477335</v>
      </c>
      <c r="O16" s="32">
        <v>771.51514508549326</v>
      </c>
      <c r="P16" s="32">
        <v>784.80897216681024</v>
      </c>
      <c r="Q16" s="32">
        <v>856.14519314529025</v>
      </c>
      <c r="R16" s="31">
        <f>SUM(N16:Q16)</f>
        <v>3180.4259115523673</v>
      </c>
      <c r="S16" s="91">
        <v>959.14927890487661</v>
      </c>
      <c r="T16" s="91">
        <v>941.04889266988653</v>
      </c>
      <c r="U16" s="91">
        <v>844.63255622775682</v>
      </c>
      <c r="V16" s="91">
        <v>815.00505992262867</v>
      </c>
      <c r="W16" s="53">
        <f>SUM(S16:V16)</f>
        <v>3559.8357877251487</v>
      </c>
      <c r="X16" s="91">
        <v>836.857591113024</v>
      </c>
      <c r="Y16" s="91">
        <v>856.28429474297582</v>
      </c>
      <c r="Z16" s="91">
        <v>901.15867053699992</v>
      </c>
      <c r="AA16" s="91">
        <v>932.11586430700004</v>
      </c>
      <c r="AB16" s="53">
        <f>SUM(X16:AA16)</f>
        <v>3526.4164206999994</v>
      </c>
      <c r="AC16" s="91">
        <v>940.19874311651142</v>
      </c>
      <c r="AD16" s="91">
        <v>997.86360941356315</v>
      </c>
      <c r="AE16" s="92"/>
    </row>
    <row r="17" spans="1:31" x14ac:dyDescent="0.35">
      <c r="A17" s="70" t="s">
        <v>57</v>
      </c>
      <c r="B17" s="56"/>
      <c r="C17" s="56"/>
      <c r="D17" s="52">
        <v>241.45285059737967</v>
      </c>
      <c r="E17" s="52">
        <v>264.59442149196775</v>
      </c>
      <c r="F17" s="52">
        <v>267.75934908783745</v>
      </c>
      <c r="G17" s="52">
        <v>269.51418729516843</v>
      </c>
      <c r="H17" s="53">
        <f>SUM(D17:G17)</f>
        <v>1043.3208084723533</v>
      </c>
      <c r="I17" s="30">
        <v>273.31670904425698</v>
      </c>
      <c r="J17" s="30">
        <v>333.75318881138696</v>
      </c>
      <c r="K17" s="32">
        <v>327.03497701885124</v>
      </c>
      <c r="L17" s="32">
        <v>387.27857520922294</v>
      </c>
      <c r="M17" s="31">
        <f>SUM(I17:L17)</f>
        <v>1321.3834500837181</v>
      </c>
      <c r="N17" s="32">
        <v>353.46603845730607</v>
      </c>
      <c r="O17" s="32">
        <v>350.87193705908828</v>
      </c>
      <c r="P17" s="32">
        <v>371.42090033598492</v>
      </c>
      <c r="Q17" s="32">
        <v>434.4365225695733</v>
      </c>
      <c r="R17" s="31">
        <f>SUM(N17:Q17)</f>
        <v>1510.1953984219526</v>
      </c>
      <c r="S17" s="91">
        <v>430.81109744551543</v>
      </c>
      <c r="T17" s="91">
        <v>464.06480181555162</v>
      </c>
      <c r="U17" s="91">
        <v>446.79594106332257</v>
      </c>
      <c r="V17" s="91">
        <v>395.43133680143745</v>
      </c>
      <c r="W17" s="53">
        <f>SUM(S17:V17)</f>
        <v>1737.1031771258272</v>
      </c>
      <c r="X17" s="91">
        <v>401.04970151812438</v>
      </c>
      <c r="Y17" s="91">
        <v>430.98294263611132</v>
      </c>
      <c r="Z17" s="91">
        <v>464.13569489255627</v>
      </c>
      <c r="AA17" s="91">
        <v>439.14607952908653</v>
      </c>
      <c r="AB17" s="53">
        <f>SUM(X17:AA17)</f>
        <v>1735.3144185758786</v>
      </c>
      <c r="AC17" s="91">
        <v>485.94753065553243</v>
      </c>
      <c r="AD17" s="91">
        <v>483.25971656443539</v>
      </c>
    </row>
    <row r="18" spans="1:31" x14ac:dyDescent="0.35">
      <c r="A18" s="70" t="s">
        <v>58</v>
      </c>
      <c r="B18" s="56"/>
      <c r="C18" s="56"/>
      <c r="D18" s="93">
        <v>-62.895353721795971</v>
      </c>
      <c r="E18" s="93">
        <v>-53.419716306524933</v>
      </c>
      <c r="F18" s="93">
        <v>-57.289793435672507</v>
      </c>
      <c r="G18" s="93">
        <v>-83.470173835547484</v>
      </c>
      <c r="H18" s="94">
        <f>SUM(D18:G18)</f>
        <v>-257.0750372995409</v>
      </c>
      <c r="I18" s="73">
        <v>-57.018467305518698</v>
      </c>
      <c r="J18" s="73">
        <v>-3.5707290863703491</v>
      </c>
      <c r="K18" s="75">
        <v>-32.653981424676189</v>
      </c>
      <c r="L18" s="75">
        <v>41.676282017680407</v>
      </c>
      <c r="M18" s="77">
        <f>SUM(I18:L18)</f>
        <v>-51.566895798884829</v>
      </c>
      <c r="N18" s="75">
        <v>20.79902514257725</v>
      </c>
      <c r="O18" s="75">
        <v>27.705890151675845</v>
      </c>
      <c r="P18" s="75">
        <v>51.105408425135522</v>
      </c>
      <c r="Q18" s="75">
        <v>99.264569193900115</v>
      </c>
      <c r="R18" s="77">
        <f>SUM(N18:Q18)</f>
        <v>198.87489291328873</v>
      </c>
      <c r="S18" s="95">
        <v>106.41931609469805</v>
      </c>
      <c r="T18" s="95">
        <v>145.4953451721648</v>
      </c>
      <c r="U18" s="95">
        <v>119.45666749627087</v>
      </c>
      <c r="V18" s="95">
        <v>57.87383393023314</v>
      </c>
      <c r="W18" s="76">
        <f>SUM(S18:V18)</f>
        <v>429.24516269336686</v>
      </c>
      <c r="X18" s="95">
        <v>70.342327319649172</v>
      </c>
      <c r="Y18" s="95">
        <v>118.34557297518043</v>
      </c>
      <c r="Z18" s="95">
        <v>112.85844713020791</v>
      </c>
      <c r="AA18" s="95">
        <v>60.935957619024578</v>
      </c>
      <c r="AB18" s="76">
        <f>SUM(X18:AA18)</f>
        <v>362.48230504406212</v>
      </c>
      <c r="AC18" s="95">
        <v>66.605836680980303</v>
      </c>
      <c r="AD18" s="95">
        <v>-17.133220914946776</v>
      </c>
      <c r="AE18" s="92"/>
    </row>
    <row r="19" spans="1:31" x14ac:dyDescent="0.35">
      <c r="A19" s="70" t="s">
        <v>38</v>
      </c>
      <c r="B19" s="117"/>
      <c r="C19" s="117"/>
      <c r="D19" s="118" t="s">
        <v>83</v>
      </c>
      <c r="E19" s="118" t="s">
        <v>83</v>
      </c>
      <c r="F19" s="118" t="s">
        <v>83</v>
      </c>
      <c r="G19" s="118" t="s">
        <v>83</v>
      </c>
      <c r="H19" s="119" t="s">
        <v>83</v>
      </c>
      <c r="I19" s="118" t="s">
        <v>83</v>
      </c>
      <c r="J19" s="118" t="s">
        <v>83</v>
      </c>
      <c r="K19" s="118" t="s">
        <v>83</v>
      </c>
      <c r="L19" s="46">
        <f>L18/L16</f>
        <v>5.3443127480212758E-2</v>
      </c>
      <c r="M19" s="119" t="s">
        <v>83</v>
      </c>
      <c r="N19" s="46">
        <f t="shared" ref="N19:AA19" si="3">N18/N16</f>
        <v>2.7083594452214924E-2</v>
      </c>
      <c r="O19" s="46">
        <f t="shared" si="3"/>
        <v>3.5911012671832512E-2</v>
      </c>
      <c r="P19" s="46">
        <f t="shared" si="3"/>
        <v>6.51182774886436E-2</v>
      </c>
      <c r="Q19" s="46">
        <f t="shared" si="3"/>
        <v>0.11594361562578398</v>
      </c>
      <c r="R19" s="47">
        <f t="shared" si="3"/>
        <v>6.2530899459380215E-2</v>
      </c>
      <c r="S19" s="46">
        <f t="shared" si="3"/>
        <v>0.11095177615751735</v>
      </c>
      <c r="T19" s="46">
        <f t="shared" si="3"/>
        <v>0.15460976183646982</v>
      </c>
      <c r="U19" s="46">
        <f t="shared" si="3"/>
        <v>0.14143033750650164</v>
      </c>
      <c r="V19" s="46">
        <f t="shared" si="3"/>
        <v>7.10103983105667E-2</v>
      </c>
      <c r="W19" s="47">
        <f>W18/W16</f>
        <v>0.12058004590365348</v>
      </c>
      <c r="X19" s="46">
        <f t="shared" si="3"/>
        <v>8.40553136718203E-2</v>
      </c>
      <c r="Y19" s="46">
        <f t="shared" si="3"/>
        <v>0.13820827230131938</v>
      </c>
      <c r="Z19" s="46">
        <f t="shared" si="3"/>
        <v>0.12523704295377375</v>
      </c>
      <c r="AA19" s="46">
        <f t="shared" si="3"/>
        <v>6.5373801640345022E-2</v>
      </c>
      <c r="AB19" s="47">
        <f>AB18/AB16</f>
        <v>0.1027905561340679</v>
      </c>
      <c r="AC19" s="46">
        <f>AC18/AC16</f>
        <v>7.084229496010544E-2</v>
      </c>
      <c r="AD19" s="46">
        <f>AD18/AD16</f>
        <v>-1.7169902533088505E-2</v>
      </c>
    </row>
    <row r="20" spans="1:31" x14ac:dyDescent="0.35">
      <c r="A20" s="16"/>
      <c r="B20" s="120"/>
      <c r="C20" s="120"/>
      <c r="D20" s="118"/>
      <c r="E20" s="118"/>
      <c r="F20" s="118"/>
      <c r="G20" s="118"/>
      <c r="H20" s="119"/>
      <c r="I20" s="118"/>
      <c r="J20" s="118"/>
      <c r="K20" s="118"/>
      <c r="L20" s="46"/>
      <c r="M20" s="119"/>
      <c r="N20" s="46"/>
      <c r="O20" s="46"/>
      <c r="P20" s="46"/>
      <c r="Q20" s="46"/>
      <c r="R20" s="47"/>
      <c r="S20" s="46"/>
      <c r="T20" s="46"/>
      <c r="U20" s="46"/>
      <c r="V20" s="46"/>
      <c r="W20" s="47"/>
      <c r="X20" s="46"/>
      <c r="Y20" s="46"/>
      <c r="Z20" s="46"/>
      <c r="AA20" s="46"/>
      <c r="AB20" s="47"/>
      <c r="AC20" s="46"/>
      <c r="AD20" s="46"/>
    </row>
    <row r="21" spans="1:31" x14ac:dyDescent="0.35">
      <c r="A21" s="33" t="s">
        <v>84</v>
      </c>
      <c r="B21" s="120"/>
      <c r="C21" s="120"/>
      <c r="D21" s="118"/>
      <c r="E21" s="118"/>
      <c r="F21" s="118"/>
      <c r="G21" s="118"/>
      <c r="H21" s="119"/>
      <c r="I21" s="118"/>
      <c r="J21" s="118"/>
      <c r="K21" s="118"/>
      <c r="L21" s="46"/>
      <c r="M21" s="119"/>
      <c r="N21" s="46"/>
      <c r="O21" s="46"/>
      <c r="P21" s="46"/>
      <c r="Q21" s="46"/>
      <c r="R21" s="47"/>
      <c r="S21" s="46"/>
      <c r="T21" s="46"/>
      <c r="U21" s="46"/>
      <c r="V21" s="46"/>
      <c r="W21" s="47"/>
      <c r="X21" s="46"/>
      <c r="Y21" s="46"/>
      <c r="Z21" s="46"/>
      <c r="AA21" s="46"/>
      <c r="AB21" s="47"/>
      <c r="AC21" s="46"/>
      <c r="AD21" s="46"/>
    </row>
    <row r="22" spans="1:31" x14ac:dyDescent="0.35">
      <c r="A22" s="70" t="s">
        <v>85</v>
      </c>
      <c r="B22" s="120"/>
      <c r="C22" s="120"/>
      <c r="D22" s="118"/>
      <c r="E22" s="118"/>
      <c r="F22" s="118"/>
      <c r="G22" s="118"/>
      <c r="H22" s="119"/>
      <c r="I22" s="118"/>
      <c r="J22" s="118"/>
      <c r="K22" s="118"/>
      <c r="L22" s="46"/>
      <c r="M22" s="119"/>
      <c r="N22" s="46"/>
      <c r="O22" s="46"/>
      <c r="P22" s="46"/>
      <c r="Q22" s="46"/>
      <c r="R22" s="47"/>
      <c r="S22" s="46">
        <v>0.61951577099229227</v>
      </c>
      <c r="T22" s="46">
        <v>0.52928290091391494</v>
      </c>
      <c r="U22" s="46">
        <v>0.47956796526545542</v>
      </c>
      <c r="V22" s="46">
        <v>0.43463435806640544</v>
      </c>
      <c r="W22" s="47">
        <v>0.52012981978299733</v>
      </c>
      <c r="X22" s="46">
        <v>0.45329661584094499</v>
      </c>
      <c r="Y22" s="46">
        <v>0.43701049727755992</v>
      </c>
      <c r="Z22" s="46">
        <v>0.40945803822739085</v>
      </c>
      <c r="AA22" s="46">
        <v>0.4078278022599901</v>
      </c>
      <c r="AB22" s="47">
        <v>0.42612079394873897</v>
      </c>
      <c r="AC22" s="46">
        <v>0.39086330274925257</v>
      </c>
      <c r="AD22" s="46">
        <v>0.37873215608687233</v>
      </c>
    </row>
    <row r="23" spans="1:31" x14ac:dyDescent="0.35">
      <c r="A23" s="70" t="s">
        <v>86</v>
      </c>
      <c r="B23" s="120"/>
      <c r="C23" s="120"/>
      <c r="D23" s="118"/>
      <c r="E23" s="118"/>
      <c r="F23" s="118"/>
      <c r="G23" s="118"/>
      <c r="H23" s="119"/>
      <c r="I23" s="118"/>
      <c r="J23" s="118"/>
      <c r="K23" s="118"/>
      <c r="L23" s="46"/>
      <c r="M23" s="119"/>
      <c r="N23" s="46"/>
      <c r="O23" s="46"/>
      <c r="P23" s="46"/>
      <c r="Q23" s="46"/>
      <c r="R23" s="47"/>
      <c r="S23" s="46">
        <v>0.20320928907702332</v>
      </c>
      <c r="T23" s="46">
        <v>0.2533198119214039</v>
      </c>
      <c r="U23" s="46">
        <v>0.26072427987130781</v>
      </c>
      <c r="V23" s="46">
        <v>0.30130994441757958</v>
      </c>
      <c r="W23" s="47">
        <v>0.25256219014375347</v>
      </c>
      <c r="X23" s="46">
        <v>0.27119585032477028</v>
      </c>
      <c r="Y23" s="46">
        <v>0.28508652522088873</v>
      </c>
      <c r="Z23" s="46">
        <v>0.29074064807379807</v>
      </c>
      <c r="AA23" s="46">
        <v>0.27630322266115892</v>
      </c>
      <c r="AB23" s="47">
        <v>0.28091336217458657</v>
      </c>
      <c r="AC23" s="46">
        <v>0.29938335275693123</v>
      </c>
      <c r="AD23" s="46">
        <v>0.29831504876893566</v>
      </c>
    </row>
    <row r="24" spans="1:31" x14ac:dyDescent="0.35">
      <c r="A24" s="70" t="s">
        <v>87</v>
      </c>
      <c r="B24" s="120"/>
      <c r="C24" s="120"/>
      <c r="D24" s="118"/>
      <c r="E24" s="118"/>
      <c r="F24" s="118"/>
      <c r="G24" s="118"/>
      <c r="H24" s="119"/>
      <c r="I24" s="118"/>
      <c r="J24" s="118"/>
      <c r="K24" s="118"/>
      <c r="L24" s="46"/>
      <c r="M24" s="119"/>
      <c r="N24" s="46"/>
      <c r="O24" s="46"/>
      <c r="P24" s="46"/>
      <c r="Q24" s="46"/>
      <c r="R24" s="47"/>
      <c r="S24" s="46">
        <v>0.11999474097063896</v>
      </c>
      <c r="T24" s="46">
        <v>0.12773916561710807</v>
      </c>
      <c r="U24" s="46">
        <v>0.13772603619803708</v>
      </c>
      <c r="V24" s="46">
        <v>0.15887966130733761</v>
      </c>
      <c r="W24" s="47">
        <v>0.13515156902976314</v>
      </c>
      <c r="X24" s="46">
        <v>0.15617958791809974</v>
      </c>
      <c r="Y24" s="46">
        <v>0.15405194896781704</v>
      </c>
      <c r="Z24" s="46">
        <v>0.16050560301162442</v>
      </c>
      <c r="AA24" s="46">
        <v>0.18701182018318988</v>
      </c>
      <c r="AB24" s="47">
        <v>0.16491814049425207</v>
      </c>
      <c r="AC24" s="46">
        <v>0.16054158980504918</v>
      </c>
      <c r="AD24" s="46">
        <v>0.17434508953513794</v>
      </c>
    </row>
    <row r="25" spans="1:31" x14ac:dyDescent="0.35">
      <c r="A25" s="70" t="s">
        <v>88</v>
      </c>
      <c r="B25" s="56"/>
      <c r="C25" s="56"/>
      <c r="D25" s="113"/>
      <c r="E25" s="113"/>
      <c r="F25" s="113"/>
      <c r="G25" s="113"/>
      <c r="H25" s="114"/>
      <c r="I25" s="113"/>
      <c r="J25" s="113"/>
      <c r="K25" s="113"/>
      <c r="L25" s="113"/>
      <c r="M25" s="114"/>
      <c r="N25" s="113"/>
      <c r="O25" s="113"/>
      <c r="P25" s="113"/>
      <c r="Q25" s="113"/>
      <c r="R25" s="114"/>
      <c r="S25" s="46">
        <v>5.7280198960045513E-2</v>
      </c>
      <c r="T25" s="46">
        <v>8.9658121547573008E-2</v>
      </c>
      <c r="U25" s="46">
        <v>0.12198171866519962</v>
      </c>
      <c r="V25" s="46">
        <v>0.10517603620867733</v>
      </c>
      <c r="W25" s="47">
        <v>9.2156421043485981E-2</v>
      </c>
      <c r="X25" s="46">
        <v>0.11932794591618499</v>
      </c>
      <c r="Y25" s="46">
        <v>0.12385102853373432</v>
      </c>
      <c r="Z25" s="46">
        <v>0.13929571068718677</v>
      </c>
      <c r="AA25" s="46">
        <v>0.12885715489566102</v>
      </c>
      <c r="AB25" s="47">
        <v>0.12804770338242238</v>
      </c>
      <c r="AC25" s="46">
        <v>0.14921175468876693</v>
      </c>
      <c r="AD25" s="46">
        <v>0.14860770560905409</v>
      </c>
    </row>
    <row r="26" spans="1:31" ht="15.5" x14ac:dyDescent="0.35">
      <c r="A26" s="90" t="s">
        <v>89</v>
      </c>
      <c r="B26" s="18"/>
      <c r="C26" s="18"/>
      <c r="D26" s="113"/>
      <c r="E26" s="113"/>
      <c r="F26" s="113"/>
      <c r="G26" s="113"/>
      <c r="H26" s="114"/>
      <c r="I26" s="113"/>
      <c r="J26" s="113"/>
      <c r="K26" s="113"/>
      <c r="L26" s="113"/>
      <c r="M26" s="114"/>
      <c r="N26" s="113"/>
      <c r="O26" s="113"/>
      <c r="P26" s="113"/>
      <c r="Q26" s="113"/>
      <c r="R26" s="114"/>
      <c r="S26" s="115"/>
      <c r="T26" s="115"/>
      <c r="U26" s="115"/>
      <c r="V26" s="115"/>
      <c r="W26" s="116"/>
      <c r="X26" s="115"/>
      <c r="Y26" s="115"/>
      <c r="Z26" s="115"/>
      <c r="AA26" s="115"/>
      <c r="AB26" s="116"/>
      <c r="AC26" s="115"/>
      <c r="AD26" s="115"/>
    </row>
    <row r="27" spans="1:31" x14ac:dyDescent="0.35">
      <c r="A27" s="70" t="s">
        <v>56</v>
      </c>
      <c r="B27" s="56"/>
      <c r="C27" s="56"/>
      <c r="D27" s="52">
        <v>0.27689885461521085</v>
      </c>
      <c r="E27" s="52">
        <v>0.46036200559956558</v>
      </c>
      <c r="F27" s="52">
        <v>0.71618386551918489</v>
      </c>
      <c r="G27" s="52">
        <v>1.2958233023961172</v>
      </c>
      <c r="H27" s="53">
        <f>SUM(D27:G27)</f>
        <v>2.7492680281300785</v>
      </c>
      <c r="I27" s="30">
        <v>2.4283568476974025</v>
      </c>
      <c r="J27" s="30">
        <v>4.2032966587197258</v>
      </c>
      <c r="K27" s="32">
        <v>16.593496604523327</v>
      </c>
      <c r="L27" s="32">
        <v>42.509376506962404</v>
      </c>
      <c r="M27" s="31">
        <f>SUM(I27:L27)</f>
        <v>65.734526617902858</v>
      </c>
      <c r="N27" s="32">
        <v>19.043466706669996</v>
      </c>
      <c r="O27" s="32">
        <v>22.243310214280015</v>
      </c>
      <c r="P27" s="32">
        <v>25.899933624918425</v>
      </c>
      <c r="Q27" s="32">
        <v>43.017520557990139</v>
      </c>
      <c r="R27" s="31">
        <f>SUM(N27:Q27)</f>
        <v>110.20423110385858</v>
      </c>
      <c r="S27" s="91">
        <v>23.004244527749997</v>
      </c>
      <c r="T27" s="91">
        <v>36.121818094114339</v>
      </c>
      <c r="U27" s="91">
        <v>32.445960308793282</v>
      </c>
      <c r="V27" s="91">
        <v>36.573396725943809</v>
      </c>
      <c r="W27" s="53">
        <f>SUM(S27:V27)</f>
        <v>128.14541965660143</v>
      </c>
      <c r="X27" s="91">
        <v>36.891332765967334</v>
      </c>
      <c r="Y27" s="91">
        <v>42.873860072032656</v>
      </c>
      <c r="Z27" s="91">
        <v>54.192434832999993</v>
      </c>
      <c r="AA27" s="91">
        <v>80.797621929000016</v>
      </c>
      <c r="AB27" s="53">
        <f>SUM(X27:AA27)</f>
        <v>214.75524960000001</v>
      </c>
      <c r="AC27" s="91">
        <v>88.789268160833345</v>
      </c>
      <c r="AD27" s="91">
        <v>120.82065446470635</v>
      </c>
    </row>
    <row r="28" spans="1:31" x14ac:dyDescent="0.35">
      <c r="A28" s="70" t="s">
        <v>57</v>
      </c>
      <c r="B28" s="56"/>
      <c r="C28" s="56"/>
      <c r="D28" s="52">
        <v>-1.2328726083398991</v>
      </c>
      <c r="E28" s="52">
        <v>-1.0503050089746353</v>
      </c>
      <c r="F28" s="52">
        <v>-1.6693776680656649</v>
      </c>
      <c r="G28" s="52">
        <v>-1.6084421834556912</v>
      </c>
      <c r="H28" s="53">
        <f>SUM(D28:G28)</f>
        <v>-5.5609974688358905</v>
      </c>
      <c r="I28" s="30">
        <v>-6.5009525809273914</v>
      </c>
      <c r="J28" s="30">
        <v>-5.6769512995702343</v>
      </c>
      <c r="K28" s="32">
        <v>-4.871476667158694</v>
      </c>
      <c r="L28" s="32">
        <v>10.067370794267411</v>
      </c>
      <c r="M28" s="31">
        <f>SUM(I28:L28)</f>
        <v>-6.9820097533889083</v>
      </c>
      <c r="N28" s="32">
        <v>1.3115393232721289</v>
      </c>
      <c r="O28" s="32">
        <v>-3.653003517175911</v>
      </c>
      <c r="P28" s="32">
        <v>7.2296700285065327</v>
      </c>
      <c r="Q28" s="32">
        <v>13.348856115442707</v>
      </c>
      <c r="R28" s="31">
        <f>SUM(N28:Q28)</f>
        <v>18.237061950045458</v>
      </c>
      <c r="S28" s="91">
        <v>8.1118542519782277</v>
      </c>
      <c r="T28" s="91">
        <v>17.270469334887377</v>
      </c>
      <c r="U28" s="91">
        <v>8.4344739077064279</v>
      </c>
      <c r="V28" s="91">
        <v>2.8411439452327345</v>
      </c>
      <c r="W28" s="53">
        <f>SUM(S28:V28)</f>
        <v>36.657941439804766</v>
      </c>
      <c r="X28" s="91">
        <v>4.7870826983719983</v>
      </c>
      <c r="Y28" s="91">
        <v>2.291688899627998</v>
      </c>
      <c r="Z28" s="91">
        <v>11.596991780999995</v>
      </c>
      <c r="AA28" s="91">
        <v>32.800339420999997</v>
      </c>
      <c r="AB28" s="53">
        <f>SUM(X28:AA28)</f>
        <v>51.476102799999985</v>
      </c>
      <c r="AC28" s="91">
        <v>35.536874377837947</v>
      </c>
      <c r="AD28" s="91">
        <v>55.777651840672306</v>
      </c>
    </row>
    <row r="29" spans="1:31" x14ac:dyDescent="0.35">
      <c r="A29" s="70" t="s">
        <v>58</v>
      </c>
      <c r="B29" s="56"/>
      <c r="C29" s="56"/>
      <c r="D29" s="93">
        <v>-49.854879335690271</v>
      </c>
      <c r="E29" s="93">
        <v>-44.353898719830795</v>
      </c>
      <c r="F29" s="93">
        <v>-58.246316500376423</v>
      </c>
      <c r="G29" s="93">
        <v>-67.571442467058347</v>
      </c>
      <c r="H29" s="94">
        <f>SUM(D29:G29)</f>
        <v>-220.02653702295584</v>
      </c>
      <c r="I29" s="73">
        <v>-84.220972628288209</v>
      </c>
      <c r="J29" s="73">
        <v>-90.460856570603639</v>
      </c>
      <c r="K29" s="75">
        <v>-116.5928199522788</v>
      </c>
      <c r="L29" s="75">
        <v>-146.92546893463822</v>
      </c>
      <c r="M29" s="77">
        <f>SUM(I29:L29)</f>
        <v>-438.20011808580887</v>
      </c>
      <c r="N29" s="75">
        <v>-135.24050653475396</v>
      </c>
      <c r="O29" s="75">
        <v>-149.77003512636338</v>
      </c>
      <c r="P29" s="75">
        <v>-147.61785283187811</v>
      </c>
      <c r="Q29" s="75">
        <v>-132.7562191278966</v>
      </c>
      <c r="R29" s="77">
        <f>SUM(N29:Q29)</f>
        <v>-565.38461362089208</v>
      </c>
      <c r="S29" s="95">
        <v>-100.07255746679544</v>
      </c>
      <c r="T29" s="95">
        <v>-79.384540110980922</v>
      </c>
      <c r="U29" s="95">
        <v>-102.01897457369196</v>
      </c>
      <c r="V29" s="95">
        <v>-106.71314946230584</v>
      </c>
      <c r="W29" s="76">
        <f>SUM(S29:V29)</f>
        <v>-388.18922161377418</v>
      </c>
      <c r="X29" s="95">
        <v>-95.511832724756331</v>
      </c>
      <c r="Y29" s="95">
        <v>-98.412422358904735</v>
      </c>
      <c r="Z29" s="95">
        <v>-89.942479998381145</v>
      </c>
      <c r="AA29" s="95">
        <v>-75.554573013408714</v>
      </c>
      <c r="AB29" s="76">
        <f>SUM(X29:AA29)</f>
        <v>-359.42130809545097</v>
      </c>
      <c r="AC29" s="95">
        <v>-80.091597297587469</v>
      </c>
      <c r="AD29" s="95">
        <v>-82.51779656869455</v>
      </c>
    </row>
    <row r="30" spans="1:31" x14ac:dyDescent="0.35">
      <c r="A30" s="70" t="s">
        <v>38</v>
      </c>
      <c r="B30" s="120"/>
      <c r="C30" s="120"/>
      <c r="D30" s="118" t="s">
        <v>83</v>
      </c>
      <c r="E30" s="118" t="s">
        <v>83</v>
      </c>
      <c r="F30" s="118" t="s">
        <v>83</v>
      </c>
      <c r="G30" s="118" t="s">
        <v>83</v>
      </c>
      <c r="H30" s="119">
        <f>H29/H27</f>
        <v>-80.030951792142076</v>
      </c>
      <c r="I30" s="118" t="s">
        <v>83</v>
      </c>
      <c r="J30" s="118" t="s">
        <v>83</v>
      </c>
      <c r="K30" s="118" t="s">
        <v>83</v>
      </c>
      <c r="L30" s="118" t="s">
        <v>83</v>
      </c>
      <c r="M30" s="119">
        <f>M29/M27</f>
        <v>-6.6662093823683923</v>
      </c>
      <c r="N30" s="118" t="s">
        <v>83</v>
      </c>
      <c r="O30" s="118" t="s">
        <v>83</v>
      </c>
      <c r="P30" s="118" t="s">
        <v>83</v>
      </c>
      <c r="Q30" s="118" t="s">
        <v>83</v>
      </c>
      <c r="R30" s="119">
        <f>R29/R27</f>
        <v>-5.1303349059988701</v>
      </c>
      <c r="S30" s="118" t="s">
        <v>83</v>
      </c>
      <c r="T30" s="118" t="s">
        <v>83</v>
      </c>
      <c r="U30" s="118" t="s">
        <v>83</v>
      </c>
      <c r="V30" s="118" t="s">
        <v>83</v>
      </c>
      <c r="W30" s="119">
        <f t="shared" ref="W30:AB30" si="4">W29/W27</f>
        <v>-3.0292867482429484</v>
      </c>
      <c r="X30" s="118">
        <f t="shared" si="4"/>
        <v>-2.5890046675913823</v>
      </c>
      <c r="Y30" s="118">
        <f t="shared" si="4"/>
        <v>-2.2953944943040203</v>
      </c>
      <c r="Z30" s="118">
        <f t="shared" si="4"/>
        <v>-1.6596870075232619</v>
      </c>
      <c r="AA30" s="118">
        <f t="shared" si="4"/>
        <v>-0.93510887089970829</v>
      </c>
      <c r="AB30" s="119">
        <f t="shared" si="4"/>
        <v>-1.6736322337400544</v>
      </c>
      <c r="AC30" s="118">
        <f>AC29/AC27</f>
        <v>-0.90204141735360555</v>
      </c>
      <c r="AD30" s="118">
        <f>AD29/AD27</f>
        <v>-0.68297756649546471</v>
      </c>
    </row>
    <row r="32" spans="1:31" hidden="1" x14ac:dyDescent="0.35">
      <c r="A32" t="s">
        <v>90</v>
      </c>
      <c r="D32" s="109">
        <v>0.34230939788926701</v>
      </c>
      <c r="E32" s="109">
        <v>0.91176722140733091</v>
      </c>
      <c r="F32" s="109">
        <v>-0.22107357948959816</v>
      </c>
      <c r="G32" s="109">
        <v>-0.22840876993575421</v>
      </c>
      <c r="H32" s="121">
        <v>0.8045942698709041</v>
      </c>
      <c r="I32" s="122"/>
    </row>
    <row r="34" spans="1:1" ht="29" x14ac:dyDescent="0.35">
      <c r="A34" s="123" t="s">
        <v>51</v>
      </c>
    </row>
  </sheetData>
  <hyperlinks>
    <hyperlink ref="B1" location="Index!A1" display="Index" xr:uid="{6E48EFEF-6B92-4D9E-8184-06B779879412}"/>
  </hyperlinks>
  <pageMargins left="0.7" right="0.7" top="0.75" bottom="0.75" header="0.3" footer="0.3"/>
  <pageSetup orientation="portrait" horizontalDpi="4294967292" verticalDpi="0" r:id="rId1"/>
  <headerFooter>
    <oddFooter>&amp;L_x000D_&amp;1#&amp;"Calibri"&amp;10&amp;K000000 Tata Communications - Public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8564-000B-4880-83E9-FACBCAFB1F19}">
  <sheetPr codeName="Sheet6"/>
  <dimension ref="A1:AD25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D4" sqref="AD4"/>
    </sheetView>
  </sheetViews>
  <sheetFormatPr defaultRowHeight="14.5" outlineLevelCol="1" x14ac:dyDescent="0.35"/>
  <cols>
    <col min="1" max="1" width="40.1796875" customWidth="1"/>
    <col min="2" max="2" width="5.7265625" customWidth="1"/>
    <col min="3" max="3" width="0.81640625" customWidth="1"/>
    <col min="4" max="7" width="9.1796875" style="16" hidden="1" customWidth="1" outlineLevel="1"/>
    <col min="8" max="8" width="8.7265625" style="17" collapsed="1"/>
    <col min="9" max="12" width="9.1796875" style="16" hidden="1" customWidth="1" outlineLevel="1"/>
    <col min="13" max="13" width="8.7265625" style="17" collapsed="1"/>
    <col min="14" max="17" width="9.1796875" style="16" hidden="1" customWidth="1" outlineLevel="1"/>
    <col min="18" max="18" width="8.7265625" style="17" collapsed="1"/>
    <col min="19" max="22" width="9.1796875" style="16" hidden="1" customWidth="1" outlineLevel="1"/>
    <col min="23" max="23" width="8.7265625" style="17" collapsed="1"/>
    <col min="24" max="27" width="9.1796875" style="109" hidden="1" customWidth="1" outlineLevel="1"/>
    <col min="28" max="28" width="8.7265625" style="17" collapsed="1"/>
    <col min="29" max="30" width="9.1796875" style="109" customWidth="1" outlineLevel="1"/>
  </cols>
  <sheetData>
    <row r="1" spans="1:30" ht="18.75" customHeight="1" x14ac:dyDescent="0.45">
      <c r="A1" s="13" t="s">
        <v>8</v>
      </c>
      <c r="B1" s="64" t="s">
        <v>9</v>
      </c>
      <c r="C1" s="65"/>
      <c r="I1" s="52"/>
      <c r="J1" s="124"/>
      <c r="K1" s="52"/>
      <c r="L1" s="52"/>
      <c r="X1" s="16"/>
      <c r="Y1" s="16"/>
      <c r="Z1" s="16"/>
      <c r="AA1" s="16"/>
      <c r="AC1" s="16"/>
      <c r="AD1" s="16"/>
    </row>
    <row r="2" spans="1:30" ht="15.5" x14ac:dyDescent="0.35">
      <c r="A2" s="18" t="s">
        <v>91</v>
      </c>
      <c r="B2" s="18"/>
      <c r="C2" s="18"/>
      <c r="X2" s="16"/>
      <c r="Y2" s="16"/>
      <c r="Z2" s="16"/>
      <c r="AA2" s="16"/>
      <c r="AC2" s="16"/>
      <c r="AD2" s="16"/>
    </row>
    <row r="3" spans="1:30" s="68" customFormat="1" ht="15.5" x14ac:dyDescent="0.35">
      <c r="A3" s="87"/>
      <c r="B3" s="87"/>
      <c r="C3" s="87"/>
      <c r="D3" s="29"/>
      <c r="E3" s="29"/>
      <c r="F3" s="29"/>
      <c r="G3" s="29"/>
      <c r="H3" s="67"/>
      <c r="I3" s="29"/>
      <c r="J3" s="29"/>
      <c r="K3" s="29"/>
      <c r="L3" s="29"/>
      <c r="M3" s="67"/>
      <c r="N3" s="29"/>
      <c r="O3" s="29"/>
      <c r="P3" s="29"/>
      <c r="Q3" s="29"/>
      <c r="R3" s="67"/>
      <c r="S3" s="29"/>
      <c r="T3" s="29"/>
      <c r="U3" s="29"/>
      <c r="V3" s="29"/>
      <c r="W3" s="67"/>
      <c r="X3" s="16"/>
      <c r="Y3" s="16"/>
      <c r="Z3" s="16"/>
      <c r="AA3" s="16"/>
      <c r="AB3" s="67"/>
      <c r="AC3" s="16"/>
      <c r="AD3" s="16"/>
    </row>
    <row r="4" spans="1:30" x14ac:dyDescent="0.35">
      <c r="A4" s="89" t="s">
        <v>11</v>
      </c>
      <c r="B4" s="20"/>
      <c r="C4" s="20"/>
      <c r="D4" s="22">
        <v>42916</v>
      </c>
      <c r="E4" s="22">
        <v>43008</v>
      </c>
      <c r="F4" s="22">
        <v>43100</v>
      </c>
      <c r="G4" s="22">
        <v>43190</v>
      </c>
      <c r="H4" s="23" t="s">
        <v>53</v>
      </c>
      <c r="I4" s="22">
        <v>43281</v>
      </c>
      <c r="J4" s="22">
        <v>43373</v>
      </c>
      <c r="K4" s="22">
        <v>43465</v>
      </c>
      <c r="L4" s="22">
        <v>43555</v>
      </c>
      <c r="M4" s="23" t="s">
        <v>54</v>
      </c>
      <c r="N4" s="22">
        <v>43646</v>
      </c>
      <c r="O4" s="22">
        <v>43738</v>
      </c>
      <c r="P4" s="22">
        <v>43830</v>
      </c>
      <c r="Q4" s="22">
        <v>43921</v>
      </c>
      <c r="R4" s="23" t="s">
        <v>55</v>
      </c>
      <c r="S4" s="22">
        <v>44012</v>
      </c>
      <c r="T4" s="22">
        <v>44104</v>
      </c>
      <c r="U4" s="22">
        <v>44196</v>
      </c>
      <c r="V4" s="22">
        <v>44286</v>
      </c>
      <c r="W4" s="23" t="s">
        <v>16</v>
      </c>
      <c r="X4" s="22">
        <v>44377</v>
      </c>
      <c r="Y4" s="22">
        <v>44469</v>
      </c>
      <c r="Z4" s="22">
        <v>44560</v>
      </c>
      <c r="AA4" s="22">
        <v>44650</v>
      </c>
      <c r="AB4" s="23" t="s">
        <v>17</v>
      </c>
      <c r="AC4" s="22">
        <v>44742</v>
      </c>
      <c r="AD4" s="22">
        <v>44834</v>
      </c>
    </row>
    <row r="5" spans="1:30" ht="15.5" x14ac:dyDescent="0.35">
      <c r="A5" s="90" t="s">
        <v>92</v>
      </c>
      <c r="B5" s="20"/>
      <c r="C5" s="20"/>
      <c r="D5" s="26"/>
      <c r="E5" s="26"/>
      <c r="F5" s="26"/>
      <c r="H5" s="27"/>
      <c r="I5" s="26"/>
      <c r="J5" s="26"/>
      <c r="K5" s="26"/>
      <c r="L5" s="26"/>
      <c r="M5" s="27"/>
      <c r="N5" s="26"/>
      <c r="O5" s="26"/>
      <c r="P5" s="26"/>
      <c r="Q5" s="26"/>
      <c r="R5" s="27"/>
      <c r="S5" s="26"/>
      <c r="T5" s="26"/>
      <c r="U5" s="26"/>
      <c r="V5" s="26"/>
      <c r="W5" s="27"/>
      <c r="X5" s="26"/>
      <c r="Y5" s="26"/>
      <c r="Z5" s="26"/>
      <c r="AA5" s="26"/>
      <c r="AB5" s="27"/>
      <c r="AC5" s="26"/>
      <c r="AD5" s="26"/>
    </row>
    <row r="6" spans="1:30" x14ac:dyDescent="0.35">
      <c r="A6" s="70" t="s">
        <v>56</v>
      </c>
      <c r="B6" s="71"/>
      <c r="C6" s="125"/>
      <c r="D6" s="126">
        <v>29.439353230456703</v>
      </c>
      <c r="E6" s="126">
        <v>29.750646769543259</v>
      </c>
      <c r="F6" s="126">
        <v>30.137750013679273</v>
      </c>
      <c r="G6" s="126">
        <v>31.522249986320741</v>
      </c>
      <c r="H6" s="127">
        <f>SUM(D6:G6)</f>
        <v>120.84999999999998</v>
      </c>
      <c r="I6" s="128">
        <v>31.464980196760003</v>
      </c>
      <c r="J6" s="128">
        <v>31.126117726439951</v>
      </c>
      <c r="K6" s="129">
        <v>34.527813653380512</v>
      </c>
      <c r="L6" s="129">
        <v>33.585781739690376</v>
      </c>
      <c r="M6" s="127">
        <f>SUM(I6:L6)</f>
        <v>130.70469331627083</v>
      </c>
      <c r="N6" s="129">
        <v>34.630000000000003</v>
      </c>
      <c r="O6" s="129">
        <v>35.329458746099995</v>
      </c>
      <c r="P6" s="129">
        <v>34.612765172542666</v>
      </c>
      <c r="Q6" s="129">
        <v>56.436114035080266</v>
      </c>
      <c r="R6" s="127">
        <f>SUM(N6:Q6)</f>
        <v>161.00833795372293</v>
      </c>
      <c r="S6" s="129">
        <v>43.270396353749994</v>
      </c>
      <c r="T6" s="129">
        <v>41.399054859874333</v>
      </c>
      <c r="U6" s="129">
        <v>41.502048931799465</v>
      </c>
      <c r="V6" s="129">
        <v>40.278088995855782</v>
      </c>
      <c r="W6" s="127">
        <f>SUM(S6:V6)</f>
        <v>166.44958914127957</v>
      </c>
      <c r="X6" s="91">
        <v>41.297301092346004</v>
      </c>
      <c r="Y6" s="91">
        <v>52.000383151653992</v>
      </c>
      <c r="Z6" s="91">
        <v>41.45541968900001</v>
      </c>
      <c r="AA6" s="91">
        <v>48.481694817000005</v>
      </c>
      <c r="AB6" s="127">
        <f>SUM(X6:AA6)</f>
        <v>183.23479875000001</v>
      </c>
      <c r="AC6" s="91">
        <v>48.392750054031403</v>
      </c>
      <c r="AD6" s="91">
        <v>46.344950215146675</v>
      </c>
    </row>
    <row r="7" spans="1:30" x14ac:dyDescent="0.35">
      <c r="A7" s="70" t="s">
        <v>57</v>
      </c>
      <c r="B7" s="71"/>
      <c r="C7" s="125"/>
      <c r="D7" s="126">
        <v>29.439353230456703</v>
      </c>
      <c r="E7" s="126">
        <v>29.750646769543259</v>
      </c>
      <c r="F7" s="126">
        <v>30.137750013679273</v>
      </c>
      <c r="G7" s="126">
        <v>31.522249986320741</v>
      </c>
      <c r="H7" s="127">
        <f>SUM(D7:G7)</f>
        <v>120.84999999999998</v>
      </c>
      <c r="I7" s="128">
        <v>31.464980196760003</v>
      </c>
      <c r="J7" s="128">
        <v>31.126117726439951</v>
      </c>
      <c r="K7" s="129">
        <v>34.527813653380512</v>
      </c>
      <c r="L7" s="129">
        <v>33.585781739690376</v>
      </c>
      <c r="M7" s="127">
        <f>SUM(I7:L7)</f>
        <v>130.70469331627083</v>
      </c>
      <c r="N7" s="129">
        <v>34.630000000000003</v>
      </c>
      <c r="O7" s="129">
        <v>35.329458746099995</v>
      </c>
      <c r="P7" s="129">
        <v>34.612765172542666</v>
      </c>
      <c r="Q7" s="129">
        <v>56.436114035080266</v>
      </c>
      <c r="R7" s="127">
        <f>SUM(N7:Q7)</f>
        <v>161.00833795372293</v>
      </c>
      <c r="S7" s="129">
        <v>43.266549364499994</v>
      </c>
      <c r="T7" s="129">
        <v>41.399091893013335</v>
      </c>
      <c r="U7" s="129">
        <v>41.502071359676798</v>
      </c>
      <c r="V7" s="129">
        <v>40.278111987277697</v>
      </c>
      <c r="W7" s="127">
        <f>SUM(S7:V7)</f>
        <v>166.44582460446782</v>
      </c>
      <c r="X7" s="91">
        <v>41.297301092346004</v>
      </c>
      <c r="Y7" s="91">
        <v>52.000383151653992</v>
      </c>
      <c r="Z7" s="91">
        <v>41.369741817000019</v>
      </c>
      <c r="AA7" s="91">
        <v>48.395948188999995</v>
      </c>
      <c r="AB7" s="127">
        <f>SUM(X7:AA7)</f>
        <v>183.06337425000001</v>
      </c>
      <c r="AC7" s="91">
        <v>48.371315988360124</v>
      </c>
      <c r="AD7" s="91">
        <v>46.202274248817957</v>
      </c>
    </row>
    <row r="8" spans="1:30" x14ac:dyDescent="0.35">
      <c r="A8" s="70" t="s">
        <v>58</v>
      </c>
      <c r="B8" s="71"/>
      <c r="C8" s="125"/>
      <c r="D8" s="130">
        <v>8.9987537741430277</v>
      </c>
      <c r="E8" s="130">
        <v>13.761951760174545</v>
      </c>
      <c r="F8" s="130">
        <v>11.10047427211493</v>
      </c>
      <c r="G8" s="130">
        <v>13.023646938019345</v>
      </c>
      <c r="H8" s="131">
        <f>SUM(D8:G8)</f>
        <v>46.88482674445185</v>
      </c>
      <c r="I8" s="132">
        <v>13.342615403410818</v>
      </c>
      <c r="J8" s="132">
        <v>12.003686091580796</v>
      </c>
      <c r="K8" s="133">
        <v>15.6111217778164</v>
      </c>
      <c r="L8" s="133">
        <v>11.560932059352076</v>
      </c>
      <c r="M8" s="134">
        <f>SUM(I8:L8)</f>
        <v>52.518355332160091</v>
      </c>
      <c r="N8" s="133">
        <v>18.076360236021269</v>
      </c>
      <c r="O8" s="133">
        <v>20.172472898923456</v>
      </c>
      <c r="P8" s="133">
        <v>19.238455707626958</v>
      </c>
      <c r="Q8" s="133">
        <v>38.538530971073314</v>
      </c>
      <c r="R8" s="134">
        <f>SUM(N8:Q8)</f>
        <v>96.025819813645001</v>
      </c>
      <c r="S8" s="133">
        <v>28.108495499432337</v>
      </c>
      <c r="T8" s="133">
        <v>22.2918353580123</v>
      </c>
      <c r="U8" s="133">
        <v>26.547032401366401</v>
      </c>
      <c r="V8" s="133">
        <v>25.447336198844759</v>
      </c>
      <c r="W8" s="134">
        <f>SUM(S8:V8)</f>
        <v>102.3946994576558</v>
      </c>
      <c r="X8" s="95">
        <v>26.66433843877266</v>
      </c>
      <c r="Y8" s="95">
        <v>35.972542489227351</v>
      </c>
      <c r="Z8" s="95">
        <v>24.790368933000025</v>
      </c>
      <c r="AA8" s="95">
        <v>30.026216838999972</v>
      </c>
      <c r="AB8" s="134">
        <f>SUM(X8:AA8)</f>
        <v>117.45346670000001</v>
      </c>
      <c r="AC8" s="95">
        <v>29.256011172755873</v>
      </c>
      <c r="AD8" s="95">
        <v>18.206508188638985</v>
      </c>
    </row>
    <row r="9" spans="1:30" s="28" customFormat="1" x14ac:dyDescent="0.35">
      <c r="A9" s="70" t="s">
        <v>38</v>
      </c>
      <c r="C9" s="135"/>
      <c r="D9" s="136">
        <f t="shared" ref="D9:AB9" si="0">D8/D6</f>
        <v>0.3056709060045959</v>
      </c>
      <c r="E9" s="136">
        <f t="shared" si="0"/>
        <v>0.46257655730238173</v>
      </c>
      <c r="F9" s="136">
        <f t="shared" si="0"/>
        <v>0.36832458518225536</v>
      </c>
      <c r="G9" s="136">
        <f t="shared" si="0"/>
        <v>0.41315727600888358</v>
      </c>
      <c r="H9" s="137">
        <f t="shared" si="0"/>
        <v>0.38795884769922928</v>
      </c>
      <c r="I9" s="136">
        <f t="shared" si="0"/>
        <v>0.42404652156065009</v>
      </c>
      <c r="J9" s="136">
        <f t="shared" si="0"/>
        <v>0.38564674840204421</v>
      </c>
      <c r="K9" s="136">
        <f t="shared" si="0"/>
        <v>0.45213177800755316</v>
      </c>
      <c r="L9" s="136">
        <f t="shared" si="0"/>
        <v>0.34422102033997959</v>
      </c>
      <c r="M9" s="137">
        <f t="shared" si="0"/>
        <v>0.40180925412586022</v>
      </c>
      <c r="N9" s="136">
        <f t="shared" si="0"/>
        <v>0.52198556846726152</v>
      </c>
      <c r="O9" s="136">
        <f t="shared" si="0"/>
        <v>0.57098165708950432</v>
      </c>
      <c r="P9" s="136">
        <f t="shared" si="0"/>
        <v>0.55581966975837815</v>
      </c>
      <c r="Q9" s="136">
        <f t="shared" si="0"/>
        <v>0.68287003153899029</v>
      </c>
      <c r="R9" s="137">
        <f t="shared" si="0"/>
        <v>0.59640277661424446</v>
      </c>
      <c r="S9" s="136">
        <f t="shared" si="0"/>
        <v>0.64960106373040738</v>
      </c>
      <c r="T9" s="136">
        <f t="shared" si="0"/>
        <v>0.53846242223318153</v>
      </c>
      <c r="U9" s="136">
        <f t="shared" si="0"/>
        <v>0.63965594674593729</v>
      </c>
      <c r="V9" s="136">
        <f t="shared" si="0"/>
        <v>0.63179105149360582</v>
      </c>
      <c r="W9" s="137">
        <f t="shared" si="0"/>
        <v>0.61516943349583719</v>
      </c>
      <c r="X9" s="136">
        <f t="shared" si="0"/>
        <v>0.64566782170940951</v>
      </c>
      <c r="Y9" s="136">
        <f t="shared" si="0"/>
        <v>0.69177456605111887</v>
      </c>
      <c r="Z9" s="136">
        <f t="shared" si="0"/>
        <v>0.59800067443480798</v>
      </c>
      <c r="AA9" s="136">
        <f t="shared" si="0"/>
        <v>0.61933100631769455</v>
      </c>
      <c r="AB9" s="137">
        <f t="shared" si="0"/>
        <v>0.64099978552791137</v>
      </c>
      <c r="AC9" s="136">
        <f>AC8/AC6</f>
        <v>0.60455359821648891</v>
      </c>
      <c r="AD9" s="136">
        <f t="shared" ref="AD9" si="1">AD8/AD6</f>
        <v>0.39284772351937164</v>
      </c>
    </row>
    <row r="10" spans="1:30" x14ac:dyDescent="0.35">
      <c r="A10" s="56"/>
      <c r="B10" s="56"/>
      <c r="C10" s="138"/>
      <c r="D10" s="139"/>
      <c r="E10" s="139"/>
      <c r="F10" s="139"/>
      <c r="G10" s="139"/>
      <c r="H10" s="140"/>
      <c r="I10" s="141"/>
      <c r="J10" s="141"/>
      <c r="K10" s="141"/>
      <c r="L10" s="141"/>
      <c r="M10" s="140"/>
      <c r="N10" s="141"/>
      <c r="O10" s="141"/>
      <c r="P10" s="141"/>
      <c r="Q10" s="141"/>
      <c r="R10" s="140"/>
      <c r="S10" s="141"/>
      <c r="T10" s="141"/>
      <c r="U10" s="141"/>
      <c r="V10" s="141"/>
      <c r="W10" s="140"/>
      <c r="X10" s="115"/>
      <c r="Y10" s="115"/>
      <c r="Z10" s="115"/>
      <c r="AA10" s="115"/>
      <c r="AB10" s="140"/>
      <c r="AC10" s="115"/>
      <c r="AD10" s="115"/>
    </row>
    <row r="11" spans="1:30" ht="15.5" x14ac:dyDescent="0.35">
      <c r="A11" s="90" t="s">
        <v>93</v>
      </c>
      <c r="B11" s="18"/>
      <c r="C11" s="142"/>
      <c r="D11" s="139"/>
      <c r="E11" s="139"/>
      <c r="F11" s="139"/>
      <c r="G11" s="139"/>
      <c r="H11" s="140"/>
      <c r="I11" s="141"/>
      <c r="J11" s="141"/>
      <c r="K11" s="141"/>
      <c r="L11" s="141"/>
      <c r="M11" s="140"/>
      <c r="N11" s="141"/>
      <c r="O11" s="141"/>
      <c r="P11" s="141"/>
      <c r="Q11" s="141"/>
      <c r="R11" s="140"/>
      <c r="S11" s="141"/>
      <c r="T11" s="141"/>
      <c r="U11" s="141"/>
      <c r="V11" s="141"/>
      <c r="W11" s="140"/>
      <c r="X11" s="115"/>
      <c r="Y11" s="115"/>
      <c r="Z11" s="115"/>
      <c r="AA11" s="115"/>
      <c r="AB11" s="140"/>
      <c r="AC11" s="115"/>
      <c r="AD11" s="115"/>
    </row>
    <row r="12" spans="1:30" x14ac:dyDescent="0.35">
      <c r="A12" s="70" t="s">
        <v>56</v>
      </c>
      <c r="B12" s="56"/>
      <c r="C12" s="138"/>
      <c r="D12" s="126">
        <v>237.1870613695863</v>
      </c>
      <c r="E12" s="126">
        <v>227.02847780373989</v>
      </c>
      <c r="F12" s="126">
        <v>256.73829855533438</v>
      </c>
      <c r="G12" s="126">
        <v>260.99978332122055</v>
      </c>
      <c r="H12" s="127">
        <f>SUM(D12:G12)</f>
        <v>981.95362104988112</v>
      </c>
      <c r="I12" s="128">
        <v>242.91330611285511</v>
      </c>
      <c r="J12" s="128">
        <v>253.73640710826075</v>
      </c>
      <c r="K12" s="129">
        <v>297.7037356815722</v>
      </c>
      <c r="L12" s="129">
        <v>315.8570183686893</v>
      </c>
      <c r="M12" s="127">
        <f>SUM(I12:L12)</f>
        <v>1110.2104672713774</v>
      </c>
      <c r="N12" s="129">
        <v>299.76524843230999</v>
      </c>
      <c r="O12" s="129">
        <v>323.63802463104827</v>
      </c>
      <c r="P12" s="129">
        <v>327.6323919610038</v>
      </c>
      <c r="Q12" s="129">
        <v>361.12153548113565</v>
      </c>
      <c r="R12" s="127">
        <f>SUM(N12:Q12)</f>
        <v>1312.1572005054977</v>
      </c>
      <c r="S12" s="129">
        <v>332.53189935900002</v>
      </c>
      <c r="T12" s="129">
        <v>332.78539878930371</v>
      </c>
      <c r="U12" s="129">
        <v>321.64720040417183</v>
      </c>
      <c r="V12" s="129">
        <v>341.26958476511641</v>
      </c>
      <c r="W12" s="127">
        <f>SUM(S12:V12)</f>
        <v>1328.234083317592</v>
      </c>
      <c r="X12" s="91">
        <v>330.25407266428198</v>
      </c>
      <c r="Y12" s="91">
        <v>335.17114595971799</v>
      </c>
      <c r="Z12" s="91">
        <v>312.661878559</v>
      </c>
      <c r="AA12" s="91">
        <v>333.67398466700001</v>
      </c>
      <c r="AB12" s="127">
        <f>SUM(X12:AA12)</f>
        <v>1311.76108185</v>
      </c>
      <c r="AC12" s="91">
        <v>317.03856098260343</v>
      </c>
      <c r="AD12" s="91">
        <v>321.50294018077574</v>
      </c>
    </row>
    <row r="13" spans="1:30" x14ac:dyDescent="0.35">
      <c r="A13" s="70" t="s">
        <v>57</v>
      </c>
      <c r="B13" s="56"/>
      <c r="C13" s="138"/>
      <c r="D13" s="126">
        <v>72.961445763196352</v>
      </c>
      <c r="E13" s="126">
        <v>61.06970008875966</v>
      </c>
      <c r="F13" s="126">
        <v>81.883402403888851</v>
      </c>
      <c r="G13" s="126">
        <v>92.190775124512356</v>
      </c>
      <c r="H13" s="127">
        <f>SUM(D13:G13)</f>
        <v>308.10532338035722</v>
      </c>
      <c r="I13" s="128">
        <v>75.66187213504061</v>
      </c>
      <c r="J13" s="128">
        <v>63.042574517887985</v>
      </c>
      <c r="K13" s="129">
        <v>70.433236223659307</v>
      </c>
      <c r="L13" s="129">
        <v>67.618248594851337</v>
      </c>
      <c r="M13" s="127">
        <f>SUM(I13:L13)</f>
        <v>276.75593147143923</v>
      </c>
      <c r="N13" s="129">
        <v>56.153194992895578</v>
      </c>
      <c r="O13" s="129">
        <v>54.295572561803112</v>
      </c>
      <c r="P13" s="129">
        <v>-1.5297365672685146</v>
      </c>
      <c r="Q13" s="129">
        <v>17.11713173920397</v>
      </c>
      <c r="R13" s="127">
        <f>SUM(N13:Q13)</f>
        <v>126.03616272663415</v>
      </c>
      <c r="S13" s="129">
        <v>49.559582156759063</v>
      </c>
      <c r="T13" s="129">
        <v>35.904799931314244</v>
      </c>
      <c r="U13" s="129">
        <v>35.181562236519085</v>
      </c>
      <c r="V13" s="129">
        <v>62.802023729392658</v>
      </c>
      <c r="W13" s="127">
        <f>SUM(S13:V13)</f>
        <v>183.44796805398505</v>
      </c>
      <c r="X13" s="91">
        <v>28.546698242833315</v>
      </c>
      <c r="Y13" s="91">
        <v>19.489080823166603</v>
      </c>
      <c r="Z13" s="91">
        <v>25.997656130000109</v>
      </c>
      <c r="AA13" s="91">
        <v>60.442774903999862</v>
      </c>
      <c r="AB13" s="127">
        <f>SUM(X13:AA13)</f>
        <v>134.47621009999989</v>
      </c>
      <c r="AC13" s="91">
        <v>49.901460986172196</v>
      </c>
      <c r="AD13" s="91">
        <v>40.702422736225799</v>
      </c>
    </row>
    <row r="14" spans="1:30" x14ac:dyDescent="0.35">
      <c r="A14" s="70" t="s">
        <v>58</v>
      </c>
      <c r="B14" s="56"/>
      <c r="C14" s="138"/>
      <c r="D14" s="130">
        <v>37.565114849168978</v>
      </c>
      <c r="E14" s="130">
        <v>34.583580183459688</v>
      </c>
      <c r="F14" s="130">
        <v>40.819729459472725</v>
      </c>
      <c r="G14" s="130">
        <v>55.082256385848027</v>
      </c>
      <c r="H14" s="131">
        <f>SUM(D14:G14)</f>
        <v>168.05068087794942</v>
      </c>
      <c r="I14" s="132">
        <v>34.162599005932684</v>
      </c>
      <c r="J14" s="132">
        <v>31.570343888613557</v>
      </c>
      <c r="K14" s="133">
        <v>38.752492959336976</v>
      </c>
      <c r="L14" s="133">
        <v>24.552633182332343</v>
      </c>
      <c r="M14" s="134">
        <f>SUM(I14:L14)</f>
        <v>129.03806903621557</v>
      </c>
      <c r="N14" s="133">
        <v>18.576493806476687</v>
      </c>
      <c r="O14" s="133">
        <v>18.166100656177001</v>
      </c>
      <c r="P14" s="133">
        <v>-45.627055971948309</v>
      </c>
      <c r="Q14" s="133">
        <v>-16.493779197505134</v>
      </c>
      <c r="R14" s="134">
        <f>SUM(N14:Q14)</f>
        <v>-25.378240706799758</v>
      </c>
      <c r="S14" s="133">
        <v>-3.4141895875409389</v>
      </c>
      <c r="T14" s="133">
        <v>4.3653298613683944</v>
      </c>
      <c r="U14" s="133">
        <v>-8.9566980500004263</v>
      </c>
      <c r="V14" s="133">
        <v>17.043742281401165</v>
      </c>
      <c r="W14" s="134">
        <f>SUM(S14:V14)</f>
        <v>9.0381845052281946</v>
      </c>
      <c r="X14" s="133">
        <v>-6.031380186511349</v>
      </c>
      <c r="Y14" s="133">
        <v>-21.477471839488722</v>
      </c>
      <c r="Z14" s="133">
        <v>-27.077028231999904</v>
      </c>
      <c r="AA14" s="133">
        <v>7.4372515079998607</v>
      </c>
      <c r="AB14" s="134">
        <f>SUM(X14:AA14)</f>
        <v>-47.148628750000114</v>
      </c>
      <c r="AC14" s="133">
        <v>15.573104556124449</v>
      </c>
      <c r="AD14" s="133">
        <v>5.1576003911614166</v>
      </c>
    </row>
    <row r="15" spans="1:30" x14ac:dyDescent="0.35">
      <c r="A15" s="70" t="s">
        <v>38</v>
      </c>
      <c r="B15" s="120"/>
      <c r="C15" s="143"/>
      <c r="D15" s="136">
        <f t="shared" ref="D15:T15" si="2">D14/D12</f>
        <v>0.15837758869416063</v>
      </c>
      <c r="E15" s="136">
        <f t="shared" si="2"/>
        <v>0.1523314630746733</v>
      </c>
      <c r="F15" s="136">
        <f t="shared" si="2"/>
        <v>0.15899353422985671</v>
      </c>
      <c r="G15" s="136">
        <f t="shared" si="2"/>
        <v>0.21104330312051095</v>
      </c>
      <c r="H15" s="137">
        <f t="shared" si="2"/>
        <v>0.1711391223327571</v>
      </c>
      <c r="I15" s="136">
        <f t="shared" si="2"/>
        <v>0.14063700154021649</v>
      </c>
      <c r="J15" s="136">
        <f t="shared" si="2"/>
        <v>0.12442181336296591</v>
      </c>
      <c r="K15" s="136">
        <f t="shared" si="2"/>
        <v>0.13017133584372334</v>
      </c>
      <c r="L15" s="136">
        <f t="shared" si="2"/>
        <v>7.773337856837767E-2</v>
      </c>
      <c r="M15" s="137">
        <f t="shared" si="2"/>
        <v>0.11622847454623556</v>
      </c>
      <c r="N15" s="136">
        <f t="shared" si="2"/>
        <v>6.1970137978390266E-2</v>
      </c>
      <c r="O15" s="136">
        <f t="shared" si="2"/>
        <v>5.6130921812684406E-2</v>
      </c>
      <c r="P15" s="144" t="s">
        <v>83</v>
      </c>
      <c r="Q15" s="144" t="s">
        <v>83</v>
      </c>
      <c r="R15" s="145" t="s">
        <v>83</v>
      </c>
      <c r="S15" s="136" t="s">
        <v>83</v>
      </c>
      <c r="T15" s="136">
        <f t="shared" si="2"/>
        <v>1.3117552264161126E-2</v>
      </c>
      <c r="U15" s="136" t="s">
        <v>83</v>
      </c>
      <c r="V15" s="136">
        <f>V14/V12</f>
        <v>4.9942166082956853E-2</v>
      </c>
      <c r="W15" s="145">
        <f>W14/W12</f>
        <v>6.8046623850015215E-3</v>
      </c>
      <c r="X15" s="136">
        <f t="shared" ref="X15:AA15" si="3">X14/X12</f>
        <v>-1.8262848775350355E-2</v>
      </c>
      <c r="Y15" s="136">
        <f t="shared" si="3"/>
        <v>-6.4079119274992602E-2</v>
      </c>
      <c r="Z15" s="136">
        <f t="shared" si="3"/>
        <v>-8.6601629711920272E-2</v>
      </c>
      <c r="AA15" s="136">
        <f t="shared" si="3"/>
        <v>2.2288976215577877E-2</v>
      </c>
      <c r="AB15" s="145">
        <f>AB14/AB12</f>
        <v>-3.594300014108176E-2</v>
      </c>
      <c r="AC15" s="136">
        <f>AC14/AC12</f>
        <v>4.9120537602298092E-2</v>
      </c>
      <c r="AD15" s="136">
        <f t="shared" ref="AD15" si="4">AD14/AD12</f>
        <v>1.6042156218731261E-2</v>
      </c>
    </row>
    <row r="16" spans="1:30" x14ac:dyDescent="0.35">
      <c r="A16" s="56"/>
      <c r="B16" s="56"/>
      <c r="C16" s="143"/>
      <c r="D16" s="139"/>
      <c r="E16" s="139"/>
      <c r="F16" s="139"/>
      <c r="G16" s="139"/>
      <c r="H16" s="140"/>
      <c r="I16" s="141"/>
      <c r="J16" s="141"/>
      <c r="K16" s="141"/>
      <c r="L16" s="141"/>
      <c r="M16" s="140"/>
      <c r="N16" s="141"/>
      <c r="O16" s="141"/>
      <c r="P16" s="141"/>
      <c r="Q16" s="141"/>
      <c r="R16" s="140"/>
      <c r="S16" s="141"/>
      <c r="T16" s="141"/>
      <c r="U16" s="141"/>
      <c r="V16" s="141"/>
      <c r="W16" s="140"/>
      <c r="X16" s="115"/>
      <c r="Y16" s="115"/>
      <c r="Z16" s="115"/>
      <c r="AA16" s="115"/>
      <c r="AB16" s="140"/>
      <c r="AC16" s="115"/>
      <c r="AD16" s="115"/>
    </row>
    <row r="17" spans="1:30" ht="15.5" x14ac:dyDescent="0.35">
      <c r="A17" s="90" t="s">
        <v>94</v>
      </c>
      <c r="B17" s="18"/>
      <c r="C17" s="143"/>
      <c r="D17" s="139"/>
      <c r="E17" s="139"/>
      <c r="F17" s="139"/>
      <c r="G17" s="139"/>
      <c r="H17" s="140"/>
      <c r="I17" s="141"/>
      <c r="J17" s="141"/>
      <c r="K17" s="141"/>
      <c r="L17" s="141"/>
      <c r="M17" s="140"/>
      <c r="N17" s="141"/>
      <c r="O17" s="141"/>
      <c r="P17" s="141"/>
      <c r="Q17" s="141"/>
      <c r="R17" s="140"/>
      <c r="S17" s="141"/>
      <c r="T17" s="141"/>
      <c r="U17" s="141"/>
      <c r="V17" s="141"/>
      <c r="W17" s="140"/>
      <c r="X17" s="115"/>
      <c r="Y17" s="115"/>
      <c r="Z17" s="115"/>
      <c r="AA17" s="115"/>
      <c r="AB17" s="140"/>
      <c r="AC17" s="115"/>
      <c r="AD17" s="115"/>
    </row>
    <row r="18" spans="1:30" x14ac:dyDescent="0.35">
      <c r="A18" s="70" t="s">
        <v>56</v>
      </c>
      <c r="B18" s="56"/>
      <c r="C18" s="143"/>
      <c r="D18" s="126">
        <v>97.952019545323481</v>
      </c>
      <c r="E18" s="126">
        <v>93.714102644735902</v>
      </c>
      <c r="F18" s="126">
        <v>91.153168196117036</v>
      </c>
      <c r="G18" s="126">
        <v>100.12283893350502</v>
      </c>
      <c r="H18" s="127">
        <f>SUM(D18:G18)</f>
        <v>382.94212931968144</v>
      </c>
      <c r="I18" s="128">
        <v>96.808439456999963</v>
      </c>
      <c r="J18" s="128">
        <v>86.397210669999993</v>
      </c>
      <c r="K18" s="129">
        <v>89.456237832999989</v>
      </c>
      <c r="L18" s="129">
        <v>84.415673242725006</v>
      </c>
      <c r="M18" s="127">
        <f>SUM(I18:L18)</f>
        <v>357.07756120272495</v>
      </c>
      <c r="N18" s="129">
        <v>88.945358091000003</v>
      </c>
      <c r="O18" s="129">
        <v>85.033477504999979</v>
      </c>
      <c r="P18" s="129">
        <v>87.437352924088231</v>
      </c>
      <c r="Q18" s="129">
        <v>81.993586371082756</v>
      </c>
      <c r="R18" s="127">
        <f>SUM(N18:Q18)</f>
        <v>343.40977489117097</v>
      </c>
      <c r="S18" s="129">
        <v>52.248381496499995</v>
      </c>
      <c r="T18" s="129">
        <v>58.050343887568012</v>
      </c>
      <c r="U18" s="129">
        <v>59.140264675232117</v>
      </c>
      <c r="V18" s="129">
        <v>45.927829452635535</v>
      </c>
      <c r="W18" s="146">
        <f>SUM(S18:V18)</f>
        <v>215.36681951193566</v>
      </c>
      <c r="X18" s="91">
        <v>37.575288126644672</v>
      </c>
      <c r="Y18" s="91">
        <v>40.898971463355331</v>
      </c>
      <c r="Z18" s="91">
        <v>43.535753709999994</v>
      </c>
      <c r="AA18" s="91">
        <v>42.531170949999989</v>
      </c>
      <c r="AB18" s="146">
        <f>SUM(X18:AA18)</f>
        <v>164.54118424999999</v>
      </c>
      <c r="AC18" s="91">
        <v>43.990575258</v>
      </c>
      <c r="AD18" s="91">
        <v>45.789361447000012</v>
      </c>
    </row>
    <row r="19" spans="1:30" x14ac:dyDescent="0.35">
      <c r="A19" s="70" t="s">
        <v>57</v>
      </c>
      <c r="B19" s="56"/>
      <c r="C19" s="143"/>
      <c r="D19" s="126">
        <v>4.4467668219437577</v>
      </c>
      <c r="E19" s="126">
        <v>22.289949168179596</v>
      </c>
      <c r="F19" s="126">
        <v>18.237508299117746</v>
      </c>
      <c r="G19" s="126">
        <v>23.100671786751001</v>
      </c>
      <c r="H19" s="127">
        <f>SUM(D19:G19)</f>
        <v>68.0748960759921</v>
      </c>
      <c r="I19" s="128">
        <v>19.19070341734308</v>
      </c>
      <c r="J19" s="128">
        <v>17.50229108668573</v>
      </c>
      <c r="K19" s="129">
        <v>24.49134251197119</v>
      </c>
      <c r="L19" s="129">
        <v>25.777131326725026</v>
      </c>
      <c r="M19" s="127">
        <f>SUM(I19:L19)</f>
        <v>86.961468342725027</v>
      </c>
      <c r="N19" s="129">
        <v>35.717730094000004</v>
      </c>
      <c r="O19" s="129">
        <v>35.083977783999956</v>
      </c>
      <c r="P19" s="129">
        <v>38.298507543088249</v>
      </c>
      <c r="Q19" s="129">
        <v>37.162842415218748</v>
      </c>
      <c r="R19" s="127">
        <f>SUM(N19:Q19)</f>
        <v>146.26305783630696</v>
      </c>
      <c r="S19" s="129">
        <v>9.9816893634999886</v>
      </c>
      <c r="T19" s="129">
        <v>7.8658361665680374</v>
      </c>
      <c r="U19" s="129">
        <v>18.008469783232101</v>
      </c>
      <c r="V19" s="129">
        <v>24.022402903635509</v>
      </c>
      <c r="W19" s="127">
        <f>SUM(S19:V19)</f>
        <v>59.878398216935636</v>
      </c>
      <c r="X19" s="91">
        <v>14.621426696968001</v>
      </c>
      <c r="Y19" s="91">
        <v>14.018078839032007</v>
      </c>
      <c r="Z19" s="91">
        <v>13.069999146999997</v>
      </c>
      <c r="AA19" s="91">
        <v>12.862885166999988</v>
      </c>
      <c r="AB19" s="127">
        <f>SUM(X19:AA19)</f>
        <v>54.572389849999993</v>
      </c>
      <c r="AC19" s="91">
        <v>10.422418142000005</v>
      </c>
      <c r="AD19" s="91">
        <v>11.119391580999995</v>
      </c>
    </row>
    <row r="20" spans="1:30" x14ac:dyDescent="0.35">
      <c r="A20" s="70" t="s">
        <v>58</v>
      </c>
      <c r="B20" s="56"/>
      <c r="C20" s="143"/>
      <c r="D20" s="130">
        <v>-14.07358062432669</v>
      </c>
      <c r="E20" s="130">
        <v>1.7226609503619272</v>
      </c>
      <c r="F20" s="130">
        <v>1.9706540459965556</v>
      </c>
      <c r="G20" s="130">
        <v>4.2935284505113005</v>
      </c>
      <c r="H20" s="131">
        <f>SUM(D20:G20)</f>
        <v>-6.0867371774569063</v>
      </c>
      <c r="I20" s="132">
        <v>-0.51139712686119154</v>
      </c>
      <c r="J20" s="132">
        <v>4.0582524416957808</v>
      </c>
      <c r="K20" s="133">
        <v>9.6998108557684688</v>
      </c>
      <c r="L20" s="133">
        <v>5.6717424152385547</v>
      </c>
      <c r="M20" s="134">
        <f>SUM(I20:L20)</f>
        <v>18.918408585841611</v>
      </c>
      <c r="N20" s="133">
        <v>18.994558887000014</v>
      </c>
      <c r="O20" s="133">
        <v>19.160360562999948</v>
      </c>
      <c r="P20" s="133">
        <v>23.711571445088218</v>
      </c>
      <c r="Q20" s="133">
        <v>22.097998113678749</v>
      </c>
      <c r="R20" s="134">
        <f>SUM(N20:Q20)</f>
        <v>83.964489008766932</v>
      </c>
      <c r="S20" s="133">
        <v>-3.9836404035000132</v>
      </c>
      <c r="T20" s="133">
        <v>-4.3513498794319609</v>
      </c>
      <c r="U20" s="133">
        <v>5.0928355832320857</v>
      </c>
      <c r="V20" s="133">
        <v>9.2127500336355066</v>
      </c>
      <c r="W20" s="134">
        <f>SUM(S20:V20)</f>
        <v>5.9705953339356181</v>
      </c>
      <c r="X20" s="95">
        <v>7.3406375019033341</v>
      </c>
      <c r="Y20" s="95">
        <v>3.3958275920966763</v>
      </c>
      <c r="Z20" s="95">
        <v>0.97954570899999283</v>
      </c>
      <c r="AA20" s="95">
        <v>3.1833335969999936</v>
      </c>
      <c r="AB20" s="134">
        <f>SUM(X20:AA20)</f>
        <v>14.899344399999997</v>
      </c>
      <c r="AC20" s="95">
        <v>1.2245216850000098</v>
      </c>
      <c r="AD20" s="95">
        <v>-1.7177382490000177</v>
      </c>
    </row>
    <row r="21" spans="1:30" x14ac:dyDescent="0.35">
      <c r="A21" s="70" t="s">
        <v>38</v>
      </c>
      <c r="B21" s="120"/>
      <c r="C21" s="143"/>
      <c r="D21" s="136" t="s">
        <v>83</v>
      </c>
      <c r="E21" s="136">
        <f t="shared" ref="E21:G21" si="5">E20/E18</f>
        <v>1.8382088733137885E-2</v>
      </c>
      <c r="F21" s="136">
        <f t="shared" si="5"/>
        <v>2.1619150326806766E-2</v>
      </c>
      <c r="G21" s="136">
        <f t="shared" si="5"/>
        <v>4.2882607966827413E-2</v>
      </c>
      <c r="H21" s="137" t="s">
        <v>83</v>
      </c>
      <c r="I21" s="136" t="s">
        <v>83</v>
      </c>
      <c r="J21" s="136">
        <f t="shared" ref="J21:Q21" si="6">J20/J18</f>
        <v>4.6972030812389896E-2</v>
      </c>
      <c r="K21" s="136">
        <f t="shared" si="6"/>
        <v>0.10843079354484382</v>
      </c>
      <c r="L21" s="136">
        <f t="shared" si="6"/>
        <v>6.7188262527152792E-2</v>
      </c>
      <c r="M21" s="137">
        <f t="shared" si="6"/>
        <v>5.2981230526274917E-2</v>
      </c>
      <c r="N21" s="136">
        <f t="shared" si="6"/>
        <v>0.21355312176681193</v>
      </c>
      <c r="O21" s="136">
        <f t="shared" si="6"/>
        <v>0.22532726080587867</v>
      </c>
      <c r="P21" s="136">
        <f t="shared" si="6"/>
        <v>0.27118354630056379</v>
      </c>
      <c r="Q21" s="136">
        <f t="shared" si="6"/>
        <v>0.26950886150617509</v>
      </c>
      <c r="R21" s="137">
        <f>R20/R18</f>
        <v>0.24450232680585718</v>
      </c>
      <c r="S21" s="136" t="s">
        <v>83</v>
      </c>
      <c r="T21" s="136" t="s">
        <v>83</v>
      </c>
      <c r="U21" s="136">
        <f t="shared" ref="U21:AC21" si="7">U20/U18</f>
        <v>8.6114521319769474E-2</v>
      </c>
      <c r="V21" s="136">
        <f t="shared" si="7"/>
        <v>0.20059188826104735</v>
      </c>
      <c r="W21" s="137">
        <f t="shared" si="7"/>
        <v>2.7722911762666981E-2</v>
      </c>
      <c r="X21" s="136">
        <f t="shared" si="7"/>
        <v>0.19535811614171181</v>
      </c>
      <c r="Y21" s="136">
        <f t="shared" si="7"/>
        <v>8.3029657485134328E-2</v>
      </c>
      <c r="Z21" s="136">
        <f t="shared" si="7"/>
        <v>2.2499799027827443E-2</v>
      </c>
      <c r="AA21" s="136">
        <f t="shared" si="7"/>
        <v>7.4847071592323386E-2</v>
      </c>
      <c r="AB21" s="137">
        <f t="shared" si="7"/>
        <v>9.0550851860664167E-2</v>
      </c>
      <c r="AC21" s="136">
        <f t="shared" si="7"/>
        <v>2.783600073011825E-2</v>
      </c>
      <c r="AD21" s="136">
        <f t="shared" ref="AD21" si="8">AD20/AD18</f>
        <v>-3.7513915781250955E-2</v>
      </c>
    </row>
    <row r="23" spans="1:30" x14ac:dyDescent="0.35">
      <c r="D23" s="30"/>
      <c r="E23" s="30"/>
      <c r="F23" s="30"/>
      <c r="G23" s="30"/>
      <c r="H23" s="31"/>
    </row>
    <row r="24" spans="1:30" x14ac:dyDescent="0.35">
      <c r="D24" s="30"/>
      <c r="E24" s="30"/>
      <c r="F24" s="30"/>
      <c r="G24" s="30"/>
      <c r="H24" s="31"/>
    </row>
    <row r="25" spans="1:30" x14ac:dyDescent="0.35">
      <c r="D25" s="30"/>
      <c r="E25" s="30"/>
      <c r="F25" s="30"/>
      <c r="G25" s="30"/>
      <c r="H25" s="31"/>
    </row>
  </sheetData>
  <hyperlinks>
    <hyperlink ref="B1" location="Index!A1" display="Index" xr:uid="{79ACF97A-E886-4364-9E9E-69B3411C6967}"/>
  </hyperlinks>
  <pageMargins left="0.7" right="0.7" top="0.75" bottom="0.75" header="0.3" footer="0.3"/>
  <pageSetup orientation="portrait" horizontalDpi="4294967292" verticalDpi="0" r:id="rId1"/>
  <headerFooter>
    <oddFooter>&amp;L_x000D_&amp;1#&amp;"Calibri"&amp;10&amp;K000000 Tata Communications -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217d67-19f1-4932-8cc5-c638a71dc9f0">
      <Terms xmlns="http://schemas.microsoft.com/office/infopath/2007/PartnerControls"/>
    </lcf76f155ced4ddcb4097134ff3c332f>
    <TaxCatchAll xmlns="21b60b26-4222-49ce-985e-8f8d2a4eaee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54C49FBC2BC245B3553B3388F5B4E9" ma:contentTypeVersion="15" ma:contentTypeDescription="Create a new document." ma:contentTypeScope="" ma:versionID="7406b7345ed0d7149ca963dbfeb2630e">
  <xsd:schema xmlns:xsd="http://www.w3.org/2001/XMLSchema" xmlns:xs="http://www.w3.org/2001/XMLSchema" xmlns:p="http://schemas.microsoft.com/office/2006/metadata/properties" xmlns:ns2="28217d67-19f1-4932-8cc5-c638a71dc9f0" xmlns:ns3="eeae410b-599d-42cc-ae30-dd81f8802e8f" xmlns:ns4="21b60b26-4222-49ce-985e-8f8d2a4eaee2" targetNamespace="http://schemas.microsoft.com/office/2006/metadata/properties" ma:root="true" ma:fieldsID="660daa3a4ebeec9857360c82c4f44fe3" ns2:_="" ns3:_="" ns4:_="">
    <xsd:import namespace="28217d67-19f1-4932-8cc5-c638a71dc9f0"/>
    <xsd:import namespace="eeae410b-599d-42cc-ae30-dd81f8802e8f"/>
    <xsd:import namespace="21b60b26-4222-49ce-985e-8f8d2a4eae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17d67-19f1-4932-8cc5-c638a71dc9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a9559ed-b726-410c-9ed3-fab4be7764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e410b-599d-42cc-ae30-dd81f8802e8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60b26-4222-49ce-985e-8f8d2a4eaee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0bff860-071e-4aa1-a172-07f59b704a2e}" ma:internalName="TaxCatchAll" ma:showField="CatchAllData" ma:web="eeae410b-599d-42cc-ae30-dd81f8802e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ED0022-CDC3-4BC7-877B-01210DB5DA6E}">
  <ds:schemaRefs>
    <ds:schemaRef ds:uri="http://schemas.microsoft.com/office/2006/metadata/properties"/>
    <ds:schemaRef ds:uri="http://schemas.microsoft.com/office/infopath/2007/PartnerControls"/>
    <ds:schemaRef ds:uri="28217d67-19f1-4932-8cc5-c638a71dc9f0"/>
    <ds:schemaRef ds:uri="21b60b26-4222-49ce-985e-8f8d2a4eaee2"/>
  </ds:schemaRefs>
</ds:datastoreItem>
</file>

<file path=customXml/itemProps2.xml><?xml version="1.0" encoding="utf-8"?>
<ds:datastoreItem xmlns:ds="http://schemas.openxmlformats.org/officeDocument/2006/customXml" ds:itemID="{1584A8DB-93A6-4B52-9F82-131C7CC748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217d67-19f1-4932-8cc5-c638a71dc9f0"/>
    <ds:schemaRef ds:uri="eeae410b-599d-42cc-ae30-dd81f8802e8f"/>
    <ds:schemaRef ds:uri="21b60b26-4222-49ce-985e-8f8d2a4eae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E3C623-C27D-452C-99A8-3242900B959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cbf6393-50e2-4904-bc3e-1804619f2b03}" enabled="1" method="Privileged" siteId="{20210462-2c5e-4ec8-b3e2-0be950f292c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Index</vt:lpstr>
      <vt:lpstr>Key Metrics</vt:lpstr>
      <vt:lpstr>Consolidated PL</vt:lpstr>
      <vt:lpstr>Data and Voice</vt:lpstr>
      <vt:lpstr>Data Portfolio</vt:lpstr>
      <vt:lpstr>Others (Rental and Subs)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Tabish Ansari</dc:creator>
  <cp:lastModifiedBy>Tabish Ansari</cp:lastModifiedBy>
  <dcterms:created xsi:type="dcterms:W3CDTF">2022-07-20T08:10:12Z</dcterms:created>
  <dcterms:modified xsi:type="dcterms:W3CDTF">2022-10-18T03:13:07Z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0x0101003E54C49FBC2BC245B3553B3388F5B4E9</vt:lpwstr>
  </property>
  <property fmtid="{D5CDD505-2E9C-101B-9397-08002B2CF9AE}" pid="3" name="MediaServiceImageTags">
    <vt:lpwstr/>
  </property>
</Properties>
</file>